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etien\Desktop\Nextcloud AssoCV\AssoCV\5-OUTILS\3_DEVELOPPEMENT\"/>
    </mc:Choice>
  </mc:AlternateContent>
  <xr:revisionPtr revIDLastSave="0" documentId="13_ncr:1_{1358FBCC-3CCD-43F6-895A-09CC8EA01D3A}" xr6:coauthVersionLast="47" xr6:coauthVersionMax="47" xr10:uidLastSave="{00000000-0000-0000-0000-000000000000}"/>
  <bookViews>
    <workbookView xWindow="-108" yWindow="-108" windowWidth="23256" windowHeight="12456" tabRatio="753" activeTab="3" xr2:uid="{00000000-000D-0000-FFFF-FFFF00000000}"/>
  </bookViews>
  <sheets>
    <sheet name="Copyright" sheetId="6" r:id="rId1"/>
    <sheet name="ACCUEIL" sheetId="5" r:id="rId2"/>
    <sheet name="ENCAISSEMENTS" sheetId="3" r:id="rId3"/>
    <sheet name="DECAISSEMENTS" sheetId="4" r:id="rId4"/>
    <sheet name="SIG" sheetId="1" r:id="rId5"/>
  </sheets>
  <definedNames>
    <definedName name="index_tarif">SIG!$I$9</definedName>
    <definedName name="inflation">SIG!$I$10</definedName>
    <definedName name="perte_prod">SIG!$I$8</definedName>
    <definedName name="taux_actu">SIG!$I$13</definedName>
    <definedName name="_xlnm.Print_Area" localSheetId="2">ENCAISSEMENTS!$A$1:$X$47</definedName>
    <definedName name="_xlnm.Print_Area" localSheetId="4">SIG!$A$1:$W$49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4" l="1"/>
  <c r="C40" i="4"/>
  <c r="C41" i="4"/>
  <c r="C42" i="4"/>
  <c r="C43" i="4"/>
  <c r="C44" i="4"/>
  <c r="C45" i="4"/>
  <c r="C46" i="4"/>
  <c r="C47" i="4"/>
  <c r="C48" i="4"/>
  <c r="C49" i="4"/>
  <c r="C50" i="4"/>
  <c r="C51" i="4"/>
  <c r="C52" i="4"/>
  <c r="C53" i="4"/>
  <c r="C54" i="4"/>
  <c r="C55" i="4"/>
  <c r="C56" i="4"/>
  <c r="C57" i="4"/>
  <c r="B38" i="4"/>
  <c r="B7" i="4"/>
  <c r="B8" i="4"/>
  <c r="B9" i="4"/>
  <c r="B10" i="4"/>
  <c r="B11" i="4"/>
  <c r="B12" i="4"/>
  <c r="B13" i="4"/>
  <c r="B14" i="4"/>
  <c r="B15" i="4"/>
  <c r="B16" i="4"/>
  <c r="B17" i="4"/>
  <c r="B18" i="4"/>
  <c r="B19" i="4"/>
  <c r="B20" i="4"/>
  <c r="B21" i="4"/>
  <c r="B22" i="4"/>
  <c r="B23" i="4"/>
  <c r="B24" i="4"/>
  <c r="B25" i="4"/>
  <c r="B6" i="4"/>
  <c r="W12" i="3"/>
  <c r="H12" i="3"/>
  <c r="J12" i="3" s="1"/>
  <c r="R47" i="4"/>
  <c r="R46" i="4"/>
  <c r="R45" i="4"/>
  <c r="X12" i="3" l="1"/>
  <c r="X48" i="1" l="1"/>
  <c r="Y48" i="1"/>
  <c r="Z48" i="1"/>
  <c r="AA48" i="1"/>
  <c r="AB48" i="1"/>
  <c r="AC48" i="1"/>
  <c r="AD48" i="1"/>
  <c r="AE48" i="1"/>
  <c r="AF48" i="1"/>
  <c r="AG48" i="1"/>
  <c r="I45" i="4"/>
  <c r="H39" i="4"/>
  <c r="H40" i="4"/>
  <c r="H41" i="4"/>
  <c r="H42" i="4"/>
  <c r="H43" i="4"/>
  <c r="H44" i="4"/>
  <c r="H45" i="4"/>
  <c r="H46" i="4"/>
  <c r="H47" i="4"/>
  <c r="H48" i="4"/>
  <c r="H49" i="4"/>
  <c r="H50" i="4"/>
  <c r="H51" i="4"/>
  <c r="H52" i="4"/>
  <c r="H53" i="4"/>
  <c r="H54" i="4"/>
  <c r="H55" i="4"/>
  <c r="H56" i="4"/>
  <c r="H57" i="4"/>
  <c r="H38" i="4"/>
  <c r="C6" i="4"/>
  <c r="C7" i="4"/>
  <c r="I39" i="4"/>
  <c r="I40" i="4"/>
  <c r="I41" i="4"/>
  <c r="I42" i="4"/>
  <c r="I43" i="4"/>
  <c r="I44" i="4"/>
  <c r="I46" i="4"/>
  <c r="I47" i="4"/>
  <c r="I48" i="4"/>
  <c r="I49" i="4"/>
  <c r="I50" i="4"/>
  <c r="I51" i="4"/>
  <c r="I52" i="4"/>
  <c r="I53" i="4"/>
  <c r="I54" i="4"/>
  <c r="I55" i="4"/>
  <c r="I56" i="4"/>
  <c r="I57" i="4"/>
  <c r="C8" i="4"/>
  <c r="C9" i="4"/>
  <c r="C10" i="4"/>
  <c r="C11" i="4"/>
  <c r="C12" i="4"/>
  <c r="C13" i="4"/>
  <c r="C14" i="4"/>
  <c r="C15" i="4"/>
  <c r="C16" i="4"/>
  <c r="C17" i="4"/>
  <c r="C18" i="4"/>
  <c r="C19" i="4"/>
  <c r="C20" i="4"/>
  <c r="C21" i="4"/>
  <c r="C22" i="4"/>
  <c r="C23" i="4"/>
  <c r="C24" i="4"/>
  <c r="C25" i="4"/>
  <c r="X30" i="1"/>
  <c r="Y30" i="1"/>
  <c r="Z30" i="1"/>
  <c r="AA30" i="1"/>
  <c r="AB30" i="1"/>
  <c r="AC30" i="1"/>
  <c r="AD30" i="1"/>
  <c r="AE30" i="1"/>
  <c r="AF30" i="1"/>
  <c r="AG30" i="1"/>
  <c r="X31" i="1"/>
  <c r="Y31" i="1"/>
  <c r="Z31" i="1"/>
  <c r="AA31" i="1"/>
  <c r="AB31" i="1"/>
  <c r="AC31" i="1"/>
  <c r="AD31" i="1"/>
  <c r="AE31" i="1"/>
  <c r="AF31" i="1"/>
  <c r="AG31" i="1"/>
  <c r="B39" i="4" l="1"/>
  <c r="B40" i="4"/>
  <c r="B41" i="4"/>
  <c r="B42" i="4"/>
  <c r="B43" i="4"/>
  <c r="B44" i="4"/>
  <c r="B45" i="4"/>
  <c r="B46" i="4"/>
  <c r="B47" i="4"/>
  <c r="B48" i="4"/>
  <c r="B49" i="4"/>
  <c r="B50" i="4"/>
  <c r="B51" i="4"/>
  <c r="B52" i="4"/>
  <c r="B53" i="4"/>
  <c r="B54" i="4"/>
  <c r="B55" i="4"/>
  <c r="B56" i="4"/>
  <c r="B57" i="4"/>
  <c r="H13" i="3" l="1"/>
  <c r="J13" i="3" s="1"/>
  <c r="G12" i="3"/>
  <c r="V14" i="3"/>
  <c r="V15" i="3"/>
  <c r="V16" i="3"/>
  <c r="V17" i="3"/>
  <c r="V18" i="3"/>
  <c r="V19" i="3"/>
  <c r="V20" i="3"/>
  <c r="V21" i="3"/>
  <c r="V22" i="3"/>
  <c r="V23" i="3"/>
  <c r="V24" i="3"/>
  <c r="V25" i="3"/>
  <c r="V26" i="3"/>
  <c r="V27" i="3"/>
  <c r="V28" i="3"/>
  <c r="V29" i="3"/>
  <c r="V30" i="3"/>
  <c r="V31" i="3"/>
  <c r="S14" i="3"/>
  <c r="S15" i="3"/>
  <c r="S16" i="3"/>
  <c r="S17" i="3"/>
  <c r="S18" i="3"/>
  <c r="S19" i="3"/>
  <c r="S20" i="3"/>
  <c r="S21" i="3"/>
  <c r="S22" i="3"/>
  <c r="S23" i="3"/>
  <c r="S24" i="3"/>
  <c r="S25" i="3"/>
  <c r="S26" i="3"/>
  <c r="S27" i="3"/>
  <c r="S28" i="3"/>
  <c r="S29" i="3"/>
  <c r="S30" i="3"/>
  <c r="S31" i="3"/>
  <c r="P14" i="3"/>
  <c r="P15" i="3"/>
  <c r="P16" i="3"/>
  <c r="P17" i="3"/>
  <c r="P18" i="3"/>
  <c r="P19" i="3"/>
  <c r="P20" i="3"/>
  <c r="P21" i="3"/>
  <c r="P22" i="3"/>
  <c r="P23" i="3"/>
  <c r="P24" i="3"/>
  <c r="P25" i="3"/>
  <c r="P26" i="3"/>
  <c r="P27" i="3"/>
  <c r="P28" i="3"/>
  <c r="P29" i="3"/>
  <c r="P30" i="3"/>
  <c r="P31" i="3"/>
  <c r="V13" i="3"/>
  <c r="S13" i="3"/>
  <c r="P13" i="3"/>
  <c r="G13" i="3"/>
  <c r="G14" i="3"/>
  <c r="G15" i="3"/>
  <c r="G16" i="3"/>
  <c r="G17" i="3"/>
  <c r="G18" i="3"/>
  <c r="G19" i="3"/>
  <c r="G20" i="3"/>
  <c r="G21" i="3"/>
  <c r="G22" i="3"/>
  <c r="G23" i="3"/>
  <c r="G24" i="3"/>
  <c r="G25" i="3"/>
  <c r="G26" i="3"/>
  <c r="G27" i="3"/>
  <c r="G28" i="3"/>
  <c r="G29" i="3"/>
  <c r="G30" i="3"/>
  <c r="G31" i="3"/>
  <c r="U14" i="3"/>
  <c r="U15" i="3"/>
  <c r="U16" i="3"/>
  <c r="U17" i="3"/>
  <c r="U18" i="3"/>
  <c r="U19" i="3"/>
  <c r="U20" i="3"/>
  <c r="U21" i="3"/>
  <c r="U22" i="3"/>
  <c r="U23" i="3"/>
  <c r="U24" i="3"/>
  <c r="U25" i="3"/>
  <c r="U26" i="3"/>
  <c r="U27" i="3"/>
  <c r="U28" i="3"/>
  <c r="U29" i="3"/>
  <c r="U30" i="3"/>
  <c r="U31" i="3"/>
  <c r="U13" i="3"/>
  <c r="R14" i="3"/>
  <c r="R15" i="3"/>
  <c r="R16" i="3"/>
  <c r="R17" i="3"/>
  <c r="R18" i="3"/>
  <c r="R19" i="3"/>
  <c r="R20" i="3"/>
  <c r="R21" i="3"/>
  <c r="R22" i="3"/>
  <c r="R23" i="3"/>
  <c r="R24" i="3"/>
  <c r="R25" i="3"/>
  <c r="R26" i="3"/>
  <c r="R27" i="3"/>
  <c r="R28" i="3"/>
  <c r="R29" i="3"/>
  <c r="R30" i="3"/>
  <c r="R31" i="3"/>
  <c r="R13" i="3"/>
  <c r="O14" i="3"/>
  <c r="O15" i="3"/>
  <c r="O16" i="3"/>
  <c r="O17" i="3"/>
  <c r="O18" i="3"/>
  <c r="O19" i="3"/>
  <c r="O20" i="3"/>
  <c r="O21" i="3"/>
  <c r="O22" i="3"/>
  <c r="O23" i="3"/>
  <c r="O24" i="3"/>
  <c r="O25" i="3"/>
  <c r="O26" i="3"/>
  <c r="O27" i="3"/>
  <c r="O28" i="3"/>
  <c r="O29" i="3"/>
  <c r="O30" i="3"/>
  <c r="O31" i="3"/>
  <c r="O13" i="3"/>
  <c r="H16" i="3"/>
  <c r="J16" i="3" s="1"/>
  <c r="H17" i="3"/>
  <c r="J17" i="3" s="1"/>
  <c r="H18" i="3"/>
  <c r="J18" i="3" s="1"/>
  <c r="H19" i="3"/>
  <c r="J19" i="3" s="1"/>
  <c r="H20" i="3"/>
  <c r="J20" i="3" s="1"/>
  <c r="H21" i="3"/>
  <c r="J21" i="3" s="1"/>
  <c r="H22" i="3"/>
  <c r="J22" i="3" s="1"/>
  <c r="H23" i="3"/>
  <c r="J23" i="3" s="1"/>
  <c r="H24" i="3"/>
  <c r="J24" i="3" s="1"/>
  <c r="H25" i="3"/>
  <c r="J25" i="3" s="1"/>
  <c r="H26" i="3"/>
  <c r="J26" i="3" s="1"/>
  <c r="H27" i="3"/>
  <c r="J27" i="3" s="1"/>
  <c r="H28" i="3"/>
  <c r="J28" i="3" s="1"/>
  <c r="H29" i="3"/>
  <c r="J29" i="3" s="1"/>
  <c r="H30" i="3"/>
  <c r="J30" i="3" s="1"/>
  <c r="H31" i="3"/>
  <c r="J31" i="3" s="1"/>
  <c r="H15" i="3" l="1"/>
  <c r="J15" i="3" s="1"/>
  <c r="H14" i="3"/>
  <c r="J14" i="3" s="1"/>
  <c r="W13" i="3"/>
  <c r="X13" i="3" s="1"/>
  <c r="W28" i="3"/>
  <c r="X28" i="3" s="1"/>
  <c r="W24" i="3"/>
  <c r="X24" i="3" s="1"/>
  <c r="W20" i="3"/>
  <c r="X20" i="3" s="1"/>
  <c r="W16" i="3"/>
  <c r="X16" i="3" s="1"/>
  <c r="W27" i="3"/>
  <c r="X27" i="3" s="1"/>
  <c r="W19" i="3"/>
  <c r="X19" i="3" s="1"/>
  <c r="W30" i="3"/>
  <c r="X30" i="3" s="1"/>
  <c r="W26" i="3"/>
  <c r="X26" i="3" s="1"/>
  <c r="W22" i="3"/>
  <c r="X22" i="3" s="1"/>
  <c r="W18" i="3"/>
  <c r="X18" i="3" s="1"/>
  <c r="W14" i="3"/>
  <c r="W31" i="3"/>
  <c r="X31" i="3" s="1"/>
  <c r="W23" i="3"/>
  <c r="X23" i="3" s="1"/>
  <c r="W15" i="3"/>
  <c r="W29" i="3"/>
  <c r="X29" i="3" s="1"/>
  <c r="W25" i="3"/>
  <c r="X25" i="3" s="1"/>
  <c r="W21" i="3"/>
  <c r="X21" i="3" s="1"/>
  <c r="W17" i="3"/>
  <c r="X17" i="3" s="1"/>
  <c r="X14" i="3" l="1"/>
  <c r="X15" i="3"/>
  <c r="M41" i="4"/>
  <c r="M42" i="4"/>
  <c r="M43" i="4"/>
  <c r="M44" i="4"/>
  <c r="M45" i="4"/>
  <c r="M46" i="4"/>
  <c r="M47" i="4"/>
  <c r="M48" i="4"/>
  <c r="M49" i="4"/>
  <c r="M50" i="4"/>
  <c r="M51" i="4"/>
  <c r="M52" i="4"/>
  <c r="M53" i="4"/>
  <c r="M54" i="4"/>
  <c r="M55" i="4"/>
  <c r="M56" i="4"/>
  <c r="G34" i="4" l="1"/>
  <c r="AM11" i="1" l="1"/>
  <c r="AM10" i="1" s="1"/>
  <c r="AM9" i="1" s="1"/>
  <c r="AM8" i="1" s="1"/>
  <c r="AM7" i="1" s="1"/>
  <c r="AM6" i="1" s="1"/>
  <c r="AM5" i="1" s="1"/>
  <c r="AM4" i="1" s="1"/>
  <c r="AM3" i="1" s="1"/>
  <c r="AM2" i="1" s="1"/>
  <c r="AC13" i="3"/>
  <c r="AC14" i="3"/>
  <c r="AC15" i="3"/>
  <c r="AC16" i="3"/>
  <c r="AC17" i="3"/>
  <c r="AC18" i="3"/>
  <c r="AC19" i="3"/>
  <c r="AC20" i="3"/>
  <c r="AC21" i="3"/>
  <c r="AC22" i="3"/>
  <c r="AC23" i="3"/>
  <c r="AC24" i="3"/>
  <c r="AC25" i="3"/>
  <c r="AC26" i="3"/>
  <c r="AC27" i="3"/>
  <c r="AC28" i="3"/>
  <c r="AC29" i="3"/>
  <c r="AC30" i="3"/>
  <c r="AC31" i="3"/>
  <c r="AC12" i="3"/>
  <c r="A39" i="4"/>
  <c r="A40" i="4"/>
  <c r="A41" i="4"/>
  <c r="A42" i="4"/>
  <c r="A43" i="4"/>
  <c r="A44" i="4"/>
  <c r="A45" i="4"/>
  <c r="A46" i="4"/>
  <c r="A47" i="4"/>
  <c r="A48" i="4"/>
  <c r="A49" i="4"/>
  <c r="A50" i="4"/>
  <c r="A51" i="4"/>
  <c r="A52" i="4"/>
  <c r="A53" i="4"/>
  <c r="A54" i="4"/>
  <c r="A55" i="4"/>
  <c r="A56" i="4"/>
  <c r="A57" i="4"/>
  <c r="A38" i="4"/>
  <c r="C38" i="4" s="1"/>
  <c r="A7" i="4"/>
  <c r="A8" i="4"/>
  <c r="A9" i="4"/>
  <c r="A10" i="4"/>
  <c r="A11" i="4"/>
  <c r="A12" i="4"/>
  <c r="A13" i="4"/>
  <c r="A14" i="4"/>
  <c r="A15" i="4"/>
  <c r="A16" i="4"/>
  <c r="A17" i="4"/>
  <c r="A18" i="4"/>
  <c r="A19" i="4"/>
  <c r="A20" i="4"/>
  <c r="A21" i="4"/>
  <c r="A22" i="4"/>
  <c r="A23" i="4"/>
  <c r="A24" i="4"/>
  <c r="A25" i="4"/>
  <c r="A6" i="4"/>
  <c r="M57" i="4"/>
  <c r="D39" i="4"/>
  <c r="M39" i="4" s="1"/>
  <c r="D40" i="4"/>
  <c r="M40" i="4" s="1"/>
  <c r="D41" i="4"/>
  <c r="D42" i="4"/>
  <c r="D43" i="4"/>
  <c r="D44" i="4"/>
  <c r="D45" i="4"/>
  <c r="D46" i="4"/>
  <c r="D47" i="4"/>
  <c r="D48" i="4"/>
  <c r="D49" i="4"/>
  <c r="D50" i="4"/>
  <c r="D51" i="4"/>
  <c r="D52" i="4"/>
  <c r="D53" i="4"/>
  <c r="D54" i="4"/>
  <c r="D55" i="4"/>
  <c r="D56" i="4"/>
  <c r="D57" i="4"/>
  <c r="N25" i="4"/>
  <c r="N24" i="4"/>
  <c r="N23" i="4"/>
  <c r="N22" i="4"/>
  <c r="N21" i="4"/>
  <c r="N20" i="4"/>
  <c r="N19" i="4"/>
  <c r="N18" i="4"/>
  <c r="N17" i="4"/>
  <c r="N16" i="4"/>
  <c r="N15" i="4"/>
  <c r="N14" i="4"/>
  <c r="N13" i="4"/>
  <c r="N12" i="4"/>
  <c r="N11" i="4"/>
  <c r="N10" i="4"/>
  <c r="N9" i="4"/>
  <c r="N8" i="4"/>
  <c r="N7" i="4"/>
  <c r="N6" i="4"/>
  <c r="D38" i="4"/>
  <c r="E44" i="1"/>
  <c r="E45" i="1" s="1"/>
  <c r="E46" i="1" s="1"/>
  <c r="F44" i="1"/>
  <c r="F45" i="1" s="1"/>
  <c r="F46" i="1" s="1"/>
  <c r="D44" i="1"/>
  <c r="D45" i="1" s="1"/>
  <c r="D46" i="1" s="1"/>
  <c r="AQ5" i="1"/>
  <c r="AQ6" i="1" s="1"/>
  <c r="AQ7" i="1" s="1"/>
  <c r="AQ8" i="1" s="1"/>
  <c r="AQ9" i="1" s="1"/>
  <c r="AQ10" i="1" s="1"/>
  <c r="AQ11" i="1" s="1"/>
  <c r="AQ12" i="1" s="1"/>
  <c r="AQ13" i="1" s="1"/>
  <c r="AQ14" i="1" s="1"/>
  <c r="AQ16" i="1" s="1"/>
  <c r="AQ17" i="1" s="1"/>
  <c r="AQ18" i="1" s="1"/>
  <c r="AQ19" i="1" s="1"/>
  <c r="AQ20" i="1" s="1"/>
  <c r="AQ21" i="1" s="1"/>
  <c r="AQ22" i="1" s="1"/>
  <c r="AQ23" i="1" s="1"/>
  <c r="AQ24" i="1" s="1"/>
  <c r="C14" i="1"/>
  <c r="E31" i="1"/>
  <c r="F31" i="1"/>
  <c r="G31" i="1"/>
  <c r="H31" i="1"/>
  <c r="I31" i="1"/>
  <c r="J31" i="1"/>
  <c r="K31" i="1"/>
  <c r="L31" i="1"/>
  <c r="M31" i="1"/>
  <c r="N31" i="1"/>
  <c r="O31" i="1"/>
  <c r="P31" i="1"/>
  <c r="Q31" i="1"/>
  <c r="R31" i="1"/>
  <c r="S31" i="1"/>
  <c r="T31" i="1"/>
  <c r="U31" i="1"/>
  <c r="V31" i="1"/>
  <c r="W31" i="1"/>
  <c r="D31" i="1"/>
  <c r="AO7" i="1"/>
  <c r="AO8" i="1" s="1"/>
  <c r="AO9" i="1" s="1"/>
  <c r="AO10" i="1" s="1"/>
  <c r="AO11" i="1" s="1"/>
  <c r="AO12" i="1" s="1"/>
  <c r="AO13" i="1" s="1"/>
  <c r="AO14" i="1" s="1"/>
  <c r="AO15" i="1" s="1"/>
  <c r="AO16" i="1" s="1"/>
  <c r="AO17" i="1" s="1"/>
  <c r="AO18" i="1" s="1"/>
  <c r="AO19" i="1" s="1"/>
  <c r="AM16" i="1"/>
  <c r="AM17" i="1" s="1"/>
  <c r="AM18" i="1" s="1"/>
  <c r="AM19" i="1" s="1"/>
  <c r="AM20" i="1" s="1"/>
  <c r="AM21" i="1" s="1"/>
  <c r="AM22" i="1" s="1"/>
  <c r="AM23" i="1" s="1"/>
  <c r="AM24" i="1" s="1"/>
  <c r="AM25" i="1" s="1"/>
  <c r="AM26" i="1" s="1"/>
  <c r="AM27" i="1" s="1"/>
  <c r="AM28" i="1" s="1"/>
  <c r="AM29" i="1" s="1"/>
  <c r="AM30" i="1" s="1"/>
  <c r="AM31" i="1" s="1"/>
  <c r="AM32" i="1" s="1"/>
  <c r="AM33" i="1" s="1"/>
  <c r="AM34" i="1" s="1"/>
  <c r="AM35" i="1" s="1"/>
  <c r="AM36" i="1" s="1"/>
  <c r="AM37" i="1" s="1"/>
  <c r="AM38" i="1" s="1"/>
  <c r="AM39" i="1" s="1"/>
  <c r="AM40" i="1" s="1"/>
  <c r="AM41" i="1" s="1"/>
  <c r="AM42" i="1" s="1"/>
  <c r="AM43" i="1" s="1"/>
  <c r="AM44" i="1" s="1"/>
  <c r="AM45" i="1" s="1"/>
  <c r="AM46" i="1" s="1"/>
  <c r="AM47" i="1" s="1"/>
  <c r="AM48" i="1" s="1"/>
  <c r="AM50" i="1" s="1"/>
  <c r="AM51" i="1" s="1"/>
  <c r="AM53" i="1" s="1"/>
  <c r="AM54" i="1" s="1"/>
  <c r="AM55" i="1" s="1"/>
  <c r="AM56" i="1" s="1"/>
  <c r="AM57" i="1" s="1"/>
  <c r="AM58" i="1" s="1"/>
  <c r="AM59" i="1" s="1"/>
  <c r="AM60" i="1" s="1"/>
  <c r="AM61" i="1" s="1"/>
  <c r="AM62" i="1" s="1"/>
  <c r="AM63" i="1" s="1"/>
  <c r="M8" i="1"/>
  <c r="U48" i="1"/>
  <c r="V48" i="1"/>
  <c r="W48" i="1"/>
  <c r="S30" i="1"/>
  <c r="T30" i="1"/>
  <c r="U30" i="1"/>
  <c r="V30" i="1"/>
  <c r="W30" i="1"/>
  <c r="T48" i="1"/>
  <c r="S48" i="1"/>
  <c r="F67" i="4" l="1"/>
  <c r="I38" i="4"/>
  <c r="M38" i="4" s="1"/>
  <c r="C39" i="1"/>
  <c r="E32" i="3"/>
  <c r="L58" i="4"/>
  <c r="W32" i="3"/>
  <c r="J32" i="3"/>
  <c r="X32" i="3"/>
  <c r="C12" i="1" s="1"/>
  <c r="D22" i="1" s="1"/>
  <c r="H32" i="3"/>
  <c r="T32" i="3"/>
  <c r="Q32" i="3"/>
  <c r="N32" i="3"/>
  <c r="H58" i="4"/>
  <c r="I58" i="4"/>
  <c r="K26" i="4"/>
  <c r="F66" i="4" s="1"/>
  <c r="J26" i="4"/>
  <c r="K58" i="4"/>
  <c r="L26" i="4"/>
  <c r="F32" i="3"/>
  <c r="H26" i="4"/>
  <c r="J58" i="4"/>
  <c r="E58" i="4"/>
  <c r="G58" i="4"/>
  <c r="C32" i="3"/>
  <c r="C8" i="1" s="1"/>
  <c r="I26" i="4"/>
  <c r="F65" i="4" s="1"/>
  <c r="C15" i="1" s="1"/>
  <c r="F26" i="4"/>
  <c r="M26" i="4"/>
  <c r="D32" i="3"/>
  <c r="C9" i="1" s="1"/>
  <c r="G26" i="4"/>
  <c r="D26" i="4"/>
  <c r="F58" i="4"/>
  <c r="E26" i="4"/>
  <c r="D58" i="4"/>
  <c r="AA22" i="1" l="1"/>
  <c r="AC22" i="1"/>
  <c r="AD22" i="1"/>
  <c r="AE22" i="1"/>
  <c r="AF22" i="1"/>
  <c r="AG22" i="1"/>
  <c r="X22" i="1"/>
  <c r="Y22" i="1"/>
  <c r="AB22" i="1"/>
  <c r="Z22" i="1"/>
  <c r="W22" i="1"/>
  <c r="C17" i="1"/>
  <c r="C16" i="1"/>
  <c r="E22" i="1"/>
  <c r="C10" i="1"/>
  <c r="AG25" i="1"/>
  <c r="X25" i="1"/>
  <c r="Y25" i="1"/>
  <c r="AA25" i="1"/>
  <c r="AB25" i="1"/>
  <c r="AC25" i="1"/>
  <c r="AD25" i="1"/>
  <c r="AE25" i="1"/>
  <c r="AF25" i="1"/>
  <c r="Z25" i="1"/>
  <c r="M58" i="4"/>
  <c r="C13" i="1" s="1"/>
  <c r="F22" i="1"/>
  <c r="K22" i="1"/>
  <c r="H22" i="1"/>
  <c r="U22" i="1"/>
  <c r="N22" i="1"/>
  <c r="O22" i="1"/>
  <c r="L22" i="1"/>
  <c r="I22" i="1"/>
  <c r="J22" i="1"/>
  <c r="G22" i="1"/>
  <c r="V22" i="1"/>
  <c r="S22" i="1"/>
  <c r="P22" i="1"/>
  <c r="M22" i="1"/>
  <c r="R22" i="1"/>
  <c r="T22" i="1"/>
  <c r="Q22" i="1"/>
  <c r="E25" i="1"/>
  <c r="I25" i="1"/>
  <c r="M25" i="1"/>
  <c r="Q25" i="1"/>
  <c r="U25" i="1"/>
  <c r="V25" i="1"/>
  <c r="G25" i="1"/>
  <c r="K25" i="1"/>
  <c r="O25" i="1"/>
  <c r="W25" i="1"/>
  <c r="F25" i="1"/>
  <c r="J25" i="1"/>
  <c r="N25" i="1"/>
  <c r="R25" i="1"/>
  <c r="S25" i="1"/>
  <c r="H25" i="1"/>
  <c r="L25" i="1"/>
  <c r="P25" i="1"/>
  <c r="T25" i="1"/>
  <c r="D25" i="1"/>
  <c r="N26" i="4"/>
  <c r="C11" i="1" s="1"/>
  <c r="W9" i="1" s="1"/>
  <c r="W8" i="1"/>
  <c r="Y23" i="1" l="1"/>
  <c r="Y24" i="1" s="1"/>
  <c r="Y26" i="1" s="1"/>
  <c r="Y29" i="1" s="1"/>
  <c r="Y32" i="1" s="1"/>
  <c r="X23" i="1"/>
  <c r="X24" i="1" s="1"/>
  <c r="X26" i="1" s="1"/>
  <c r="X29" i="1" s="1"/>
  <c r="X32" i="1" s="1"/>
  <c r="Z23" i="1"/>
  <c r="Z24" i="1" s="1"/>
  <c r="Z26" i="1" s="1"/>
  <c r="Z29" i="1" s="1"/>
  <c r="Z32" i="1" s="1"/>
  <c r="AA23" i="1"/>
  <c r="AA24" i="1" s="1"/>
  <c r="AA26" i="1" s="1"/>
  <c r="AA29" i="1" s="1"/>
  <c r="AA32" i="1" s="1"/>
  <c r="AB23" i="1"/>
  <c r="AB24" i="1" s="1"/>
  <c r="AB26" i="1" s="1"/>
  <c r="AB29" i="1" s="1"/>
  <c r="AB32" i="1" s="1"/>
  <c r="AC23" i="1"/>
  <c r="AC24" i="1" s="1"/>
  <c r="AC26" i="1" s="1"/>
  <c r="AC29" i="1" s="1"/>
  <c r="AC32" i="1" s="1"/>
  <c r="I27" i="1"/>
  <c r="W27" i="1"/>
  <c r="D23" i="1"/>
  <c r="D24" i="1" s="1"/>
  <c r="D26" i="1" s="1"/>
  <c r="AF23" i="1"/>
  <c r="AF24" i="1" s="1"/>
  <c r="AF26" i="1" s="1"/>
  <c r="AF29" i="1" s="1"/>
  <c r="AF32" i="1" s="1"/>
  <c r="AE23" i="1"/>
  <c r="AE24" i="1" s="1"/>
  <c r="AE26" i="1" s="1"/>
  <c r="AE29" i="1" s="1"/>
  <c r="AE32" i="1" s="1"/>
  <c r="AD23" i="1"/>
  <c r="AD24" i="1" s="1"/>
  <c r="AD26" i="1" s="1"/>
  <c r="AD29" i="1" s="1"/>
  <c r="AD32" i="1" s="1"/>
  <c r="AG23" i="1"/>
  <c r="AG24" i="1" s="1"/>
  <c r="AG26" i="1" s="1"/>
  <c r="AG29" i="1" s="1"/>
  <c r="AG32" i="1" s="1"/>
  <c r="U27" i="1"/>
  <c r="M11" i="1"/>
  <c r="I13" i="1" s="1"/>
  <c r="G27" i="1"/>
  <c r="T27" i="1"/>
  <c r="F27" i="1"/>
  <c r="E27" i="1"/>
  <c r="R27" i="1"/>
  <c r="Q27" i="1"/>
  <c r="C41" i="1"/>
  <c r="H27" i="1"/>
  <c r="V27" i="1"/>
  <c r="C38" i="1"/>
  <c r="P27" i="1"/>
  <c r="J27" i="1"/>
  <c r="S27" i="1"/>
  <c r="L27" i="1"/>
  <c r="N27" i="1"/>
  <c r="K27" i="1"/>
  <c r="R12" i="1"/>
  <c r="O27" i="1"/>
  <c r="K23" i="1"/>
  <c r="K24" i="1" s="1"/>
  <c r="K26" i="1" s="1"/>
  <c r="N23" i="1"/>
  <c r="N24" i="1" s="1"/>
  <c r="N26" i="1" s="1"/>
  <c r="P23" i="1"/>
  <c r="P24" i="1" s="1"/>
  <c r="P26" i="1" s="1"/>
  <c r="H23" i="1"/>
  <c r="H24" i="1" s="1"/>
  <c r="H26" i="1" s="1"/>
  <c r="Q23" i="1"/>
  <c r="Q24" i="1" s="1"/>
  <c r="Q26" i="1" s="1"/>
  <c r="S23" i="1"/>
  <c r="S24" i="1" s="1"/>
  <c r="S26" i="1" s="1"/>
  <c r="V23" i="1"/>
  <c r="V24" i="1" s="1"/>
  <c r="V26" i="1" s="1"/>
  <c r="M23" i="1"/>
  <c r="M24" i="1" s="1"/>
  <c r="M26" i="1" s="1"/>
  <c r="J23" i="1"/>
  <c r="J24" i="1" s="1"/>
  <c r="J26" i="1" s="1"/>
  <c r="F23" i="1"/>
  <c r="F24" i="1" s="1"/>
  <c r="F26" i="1" s="1"/>
  <c r="E23" i="1"/>
  <c r="E24" i="1" s="1"/>
  <c r="E26" i="1" s="1"/>
  <c r="O23" i="1"/>
  <c r="O24" i="1" s="1"/>
  <c r="O26" i="1" s="1"/>
  <c r="L23" i="1"/>
  <c r="L24" i="1" s="1"/>
  <c r="L26" i="1" s="1"/>
  <c r="G23" i="1"/>
  <c r="G24" i="1" s="1"/>
  <c r="G26" i="1" s="1"/>
  <c r="R23" i="1"/>
  <c r="R24" i="1" s="1"/>
  <c r="R26" i="1" s="1"/>
  <c r="T23" i="1"/>
  <c r="T24" i="1" s="1"/>
  <c r="T26" i="1" s="1"/>
  <c r="W23" i="1"/>
  <c r="W24" i="1" s="1"/>
  <c r="W26" i="1" s="1"/>
  <c r="U23" i="1"/>
  <c r="U24" i="1" s="1"/>
  <c r="U26" i="1" s="1"/>
  <c r="I23" i="1"/>
  <c r="I24" i="1" s="1"/>
  <c r="I26" i="1" s="1"/>
  <c r="D27" i="1"/>
  <c r="M27" i="1"/>
  <c r="D48" i="1" l="1"/>
  <c r="R48" i="1"/>
  <c r="R30" i="1"/>
  <c r="L48" i="1"/>
  <c r="Q48" i="1"/>
  <c r="F48" i="1"/>
  <c r="N48" i="1"/>
  <c r="K48" i="1"/>
  <c r="H48" i="1"/>
  <c r="O48" i="1"/>
  <c r="M48" i="1"/>
  <c r="E48" i="1"/>
  <c r="P48" i="1"/>
  <c r="O30" i="1"/>
  <c r="K30" i="1"/>
  <c r="F30" i="1"/>
  <c r="D30" i="1"/>
  <c r="N30" i="1"/>
  <c r="I30" i="1"/>
  <c r="L30" i="1"/>
  <c r="H30" i="1"/>
  <c r="G30" i="1"/>
  <c r="P30" i="1"/>
  <c r="J30" i="1"/>
  <c r="M30" i="1"/>
  <c r="Q30" i="1"/>
  <c r="E30" i="1"/>
  <c r="J29" i="1"/>
  <c r="J48" i="1"/>
  <c r="G29" i="1"/>
  <c r="G48" i="1"/>
  <c r="I29" i="1"/>
  <c r="I48" i="1"/>
  <c r="O29" i="1"/>
  <c r="D29" i="1"/>
  <c r="T29" i="1"/>
  <c r="T32" i="1" s="1"/>
  <c r="Q29" i="1"/>
  <c r="H29" i="1"/>
  <c r="E29" i="1"/>
  <c r="U29" i="1"/>
  <c r="U32" i="1" s="1"/>
  <c r="F29" i="1"/>
  <c r="S29" i="1"/>
  <c r="S32" i="1" s="1"/>
  <c r="N29" i="1"/>
  <c r="V29" i="1"/>
  <c r="V32" i="1" s="1"/>
  <c r="R29" i="1"/>
  <c r="P29" i="1"/>
  <c r="W29" i="1"/>
  <c r="W32" i="1" s="1"/>
  <c r="L29" i="1"/>
  <c r="K29" i="1"/>
  <c r="M29" i="1"/>
  <c r="R32" i="1" l="1"/>
  <c r="C49" i="1"/>
  <c r="D49" i="1" s="1"/>
  <c r="P32" i="1"/>
  <c r="F32" i="1"/>
  <c r="N32" i="1"/>
  <c r="D32" i="1"/>
  <c r="M32" i="1"/>
  <c r="H32" i="1"/>
  <c r="O32" i="1"/>
  <c r="L32" i="1"/>
  <c r="K32" i="1"/>
  <c r="I32" i="1"/>
  <c r="E32" i="1"/>
  <c r="G32" i="1"/>
  <c r="Q32" i="1"/>
  <c r="J32" i="1"/>
  <c r="D34" i="1" l="1"/>
  <c r="D35" i="1" s="1"/>
  <c r="D33" i="1"/>
  <c r="E33" i="1" s="1"/>
  <c r="F33" i="1" s="1"/>
  <c r="G34" i="1" s="1"/>
  <c r="F34" i="1" l="1"/>
  <c r="F35" i="1" s="1"/>
  <c r="D37" i="1"/>
  <c r="D39" i="1" s="1"/>
  <c r="D43" i="1"/>
  <c r="E34" i="1"/>
  <c r="E35" i="1" s="1"/>
  <c r="G33" i="1"/>
  <c r="H34" i="1" s="1"/>
  <c r="G35" i="1"/>
  <c r="D38" i="1" l="1"/>
  <c r="G43" i="1"/>
  <c r="G44" i="1" s="1"/>
  <c r="G45" i="1" s="1"/>
  <c r="G46" i="1" s="1"/>
  <c r="F37" i="1"/>
  <c r="F39" i="1" s="1"/>
  <c r="F43" i="1"/>
  <c r="E37" i="1"/>
  <c r="E39" i="1" s="1"/>
  <c r="E43" i="1"/>
  <c r="G37" i="1"/>
  <c r="G39" i="1" s="1"/>
  <c r="H35" i="1"/>
  <c r="H43" i="1" s="1"/>
  <c r="H33" i="1"/>
  <c r="E38" i="1" l="1"/>
  <c r="F38" i="1"/>
  <c r="H44" i="1"/>
  <c r="H45" i="1" s="1"/>
  <c r="H46" i="1" s="1"/>
  <c r="H37" i="1"/>
  <c r="G38" i="1"/>
  <c r="I34" i="1"/>
  <c r="I35" i="1" s="1"/>
  <c r="I43" i="1" s="1"/>
  <c r="I33" i="1"/>
  <c r="J34" i="1" l="1"/>
  <c r="J35" i="1" s="1"/>
  <c r="J43" i="1" s="1"/>
  <c r="J33" i="1"/>
  <c r="I37" i="1"/>
  <c r="I44" i="1"/>
  <c r="I45" i="1" s="1"/>
  <c r="I46" i="1" s="1"/>
  <c r="H39" i="1"/>
  <c r="H38" i="1"/>
  <c r="K34" i="1" l="1"/>
  <c r="K35" i="1" s="1"/>
  <c r="K43" i="1" s="1"/>
  <c r="K33" i="1"/>
  <c r="I38" i="1"/>
  <c r="I39" i="1"/>
  <c r="J44" i="1"/>
  <c r="J45" i="1" s="1"/>
  <c r="J46" i="1" s="1"/>
  <c r="J37" i="1"/>
  <c r="J39" i="1" l="1"/>
  <c r="J38" i="1"/>
  <c r="L34" i="1"/>
  <c r="L35" i="1" s="1"/>
  <c r="L43" i="1" s="1"/>
  <c r="L33" i="1"/>
  <c r="M34" i="1" s="1"/>
  <c r="K44" i="1"/>
  <c r="K45" i="1" s="1"/>
  <c r="K46" i="1" s="1"/>
  <c r="K37" i="1"/>
  <c r="L44" i="1" l="1"/>
  <c r="L45" i="1" s="1"/>
  <c r="L46" i="1" s="1"/>
  <c r="L37" i="1"/>
  <c r="K39" i="1"/>
  <c r="K38" i="1"/>
  <c r="M35" i="1"/>
  <c r="M43" i="1" s="1"/>
  <c r="M33" i="1"/>
  <c r="L38" i="1" l="1"/>
  <c r="L39" i="1"/>
  <c r="N34" i="1"/>
  <c r="N35" i="1" s="1"/>
  <c r="N43" i="1" s="1"/>
  <c r="N33" i="1"/>
  <c r="M37" i="1"/>
  <c r="M44" i="1"/>
  <c r="M45" i="1" s="1"/>
  <c r="M46" i="1" s="1"/>
  <c r="O34" i="1" l="1"/>
  <c r="O35" i="1" s="1"/>
  <c r="O43" i="1" s="1"/>
  <c r="O33" i="1"/>
  <c r="N37" i="1"/>
  <c r="N44" i="1"/>
  <c r="N45" i="1" s="1"/>
  <c r="N46" i="1" s="1"/>
  <c r="M38" i="1"/>
  <c r="M39" i="1"/>
  <c r="N38" i="1" l="1"/>
  <c r="N39" i="1"/>
  <c r="P34" i="1"/>
  <c r="P35" i="1" s="1"/>
  <c r="P43" i="1" s="1"/>
  <c r="P33" i="1"/>
  <c r="O37" i="1"/>
  <c r="O44" i="1"/>
  <c r="O45" i="1" s="1"/>
  <c r="O46" i="1" s="1"/>
  <c r="Q34" i="1" l="1"/>
  <c r="Q35" i="1" s="1"/>
  <c r="Q43" i="1" s="1"/>
  <c r="Q33" i="1"/>
  <c r="P37" i="1"/>
  <c r="P44" i="1"/>
  <c r="P45" i="1" s="1"/>
  <c r="P46" i="1" s="1"/>
  <c r="O39" i="1"/>
  <c r="O38" i="1"/>
  <c r="R34" i="1" l="1"/>
  <c r="R35" i="1" s="1"/>
  <c r="R43" i="1" s="1"/>
  <c r="R33" i="1"/>
  <c r="P39" i="1"/>
  <c r="P38" i="1"/>
  <c r="Q37" i="1"/>
  <c r="Q44" i="1"/>
  <c r="Q45" i="1" s="1"/>
  <c r="Q46" i="1" s="1"/>
  <c r="S34" i="1" l="1"/>
  <c r="S35" i="1" s="1"/>
  <c r="S43" i="1" s="1"/>
  <c r="S33" i="1"/>
  <c r="Q39" i="1"/>
  <c r="Q38" i="1"/>
  <c r="R37" i="1"/>
  <c r="R44" i="1"/>
  <c r="R45" i="1" s="1"/>
  <c r="R46" i="1" s="1"/>
  <c r="T34" i="1" l="1"/>
  <c r="T35" i="1" s="1"/>
  <c r="T43" i="1" s="1"/>
  <c r="T33" i="1"/>
  <c r="R38" i="1"/>
  <c r="R39" i="1"/>
  <c r="S37" i="1"/>
  <c r="S44" i="1"/>
  <c r="S45" i="1" s="1"/>
  <c r="S46" i="1" s="1"/>
  <c r="U34" i="1" l="1"/>
  <c r="U35" i="1" s="1"/>
  <c r="U43" i="1" s="1"/>
  <c r="U33" i="1"/>
  <c r="S38" i="1"/>
  <c r="S39" i="1"/>
  <c r="T44" i="1"/>
  <c r="T45" i="1" s="1"/>
  <c r="T46" i="1" s="1"/>
  <c r="T37" i="1"/>
  <c r="T38" i="1" l="1"/>
  <c r="T39" i="1"/>
  <c r="V34" i="1"/>
  <c r="V35" i="1" s="1"/>
  <c r="V43" i="1" s="1"/>
  <c r="V33" i="1"/>
  <c r="W33" i="1" s="1"/>
  <c r="U44" i="1"/>
  <c r="U45" i="1" s="1"/>
  <c r="U46" i="1" s="1"/>
  <c r="U37" i="1"/>
  <c r="X33" i="1" l="1"/>
  <c r="X34" i="1"/>
  <c r="X35" i="1" s="1"/>
  <c r="W34" i="1"/>
  <c r="W35" i="1" s="1"/>
  <c r="V44" i="1"/>
  <c r="V45" i="1" s="1"/>
  <c r="V46" i="1" s="1"/>
  <c r="V37" i="1"/>
  <c r="U39" i="1"/>
  <c r="U38" i="1"/>
  <c r="X43" i="1" l="1"/>
  <c r="X44" i="1" s="1"/>
  <c r="X45" i="1" s="1"/>
  <c r="X46" i="1" s="1"/>
  <c r="X37" i="1"/>
  <c r="Y33" i="1"/>
  <c r="Y34" i="1"/>
  <c r="Y35" i="1" s="1"/>
  <c r="W43" i="1"/>
  <c r="E55" i="1" s="1"/>
  <c r="E53" i="1"/>
  <c r="V38" i="1"/>
  <c r="V39" i="1"/>
  <c r="W37" i="1"/>
  <c r="E57" i="1"/>
  <c r="W44" i="1" l="1"/>
  <c r="W45" i="1" s="1"/>
  <c r="W46" i="1" s="1"/>
  <c r="E58" i="1" s="1"/>
  <c r="Y37" i="1"/>
  <c r="Y43" i="1"/>
  <c r="Y44" i="1" s="1"/>
  <c r="Y45" i="1" s="1"/>
  <c r="Y46" i="1" s="1"/>
  <c r="Z33" i="1"/>
  <c r="Z34" i="1"/>
  <c r="Z35" i="1" s="1"/>
  <c r="X40" i="1"/>
  <c r="X38" i="1"/>
  <c r="X39" i="1"/>
  <c r="F40" i="1"/>
  <c r="J40" i="1"/>
  <c r="N40" i="1"/>
  <c r="R40" i="1"/>
  <c r="S40" i="1"/>
  <c r="D40" i="1"/>
  <c r="D41" i="1" s="1"/>
  <c r="H40" i="1"/>
  <c r="P40" i="1"/>
  <c r="M40" i="1"/>
  <c r="G40" i="1"/>
  <c r="K40" i="1"/>
  <c r="O40" i="1"/>
  <c r="L40" i="1"/>
  <c r="E40" i="1"/>
  <c r="U40" i="1"/>
  <c r="T40" i="1"/>
  <c r="I40" i="1"/>
  <c r="Q40" i="1"/>
  <c r="V40" i="1"/>
  <c r="W39" i="1"/>
  <c r="W38" i="1"/>
  <c r="E56" i="1" s="1"/>
  <c r="B64" i="1" s="1"/>
  <c r="W40" i="1"/>
  <c r="AA33" i="1" l="1"/>
  <c r="AA34" i="1"/>
  <c r="AA35" i="1" s="1"/>
  <c r="Z37" i="1"/>
  <c r="Z43" i="1"/>
  <c r="Z44" i="1" s="1"/>
  <c r="Z45" i="1" s="1"/>
  <c r="Z46" i="1" s="1"/>
  <c r="Y40" i="1"/>
  <c r="Y38" i="1"/>
  <c r="Y39" i="1"/>
  <c r="E41" i="1"/>
  <c r="F41" i="1" s="1"/>
  <c r="G41" i="1" s="1"/>
  <c r="H41" i="1" s="1"/>
  <c r="I41" i="1" s="1"/>
  <c r="J41" i="1" s="1"/>
  <c r="K41" i="1" s="1"/>
  <c r="L41" i="1" s="1"/>
  <c r="M41" i="1" s="1"/>
  <c r="N41" i="1" s="1"/>
  <c r="O41" i="1" s="1"/>
  <c r="P41" i="1" s="1"/>
  <c r="Q41" i="1" s="1"/>
  <c r="R41" i="1" s="1"/>
  <c r="S41" i="1" s="1"/>
  <c r="T41" i="1" s="1"/>
  <c r="U41" i="1" s="1"/>
  <c r="V41" i="1" l="1"/>
  <c r="AA43" i="1"/>
  <c r="AA44" i="1" s="1"/>
  <c r="AA45" i="1" s="1"/>
  <c r="AA46" i="1" s="1"/>
  <c r="AA37" i="1"/>
  <c r="Z40" i="1"/>
  <c r="Z38" i="1"/>
  <c r="Z39" i="1"/>
  <c r="AB33" i="1"/>
  <c r="AB34" i="1"/>
  <c r="AB35" i="1" s="1"/>
  <c r="W41" i="1" l="1"/>
  <c r="E54" i="1" s="1"/>
  <c r="B62" i="1" s="1"/>
  <c r="AB43" i="1"/>
  <c r="AB44" i="1" s="1"/>
  <c r="AB45" i="1" s="1"/>
  <c r="AB46" i="1" s="1"/>
  <c r="AB37" i="1"/>
  <c r="AC33" i="1"/>
  <c r="AC34" i="1"/>
  <c r="AC35" i="1" s="1"/>
  <c r="AA38" i="1"/>
  <c r="AA39" i="1"/>
  <c r="AA40" i="1"/>
  <c r="X41" i="1" l="1"/>
  <c r="Y41" i="1" s="1"/>
  <c r="Z41" i="1" s="1"/>
  <c r="AA41" i="1" s="1"/>
  <c r="AD33" i="1"/>
  <c r="AD34" i="1"/>
  <c r="AD35" i="1" s="1"/>
  <c r="AC43" i="1"/>
  <c r="AC44" i="1" s="1"/>
  <c r="AC45" i="1" s="1"/>
  <c r="AC46" i="1" s="1"/>
  <c r="AC37" i="1"/>
  <c r="AB40" i="1"/>
  <c r="AB38" i="1"/>
  <c r="AB39" i="1"/>
  <c r="AB41" i="1" l="1"/>
  <c r="AC38" i="1"/>
  <c r="AC39" i="1"/>
  <c r="AC40" i="1"/>
  <c r="AD37" i="1"/>
  <c r="AD40" i="1" s="1"/>
  <c r="AD43" i="1"/>
  <c r="AD44" i="1" s="1"/>
  <c r="AD45" i="1" s="1"/>
  <c r="AD46" i="1" s="1"/>
  <c r="AE33" i="1"/>
  <c r="AE34" i="1"/>
  <c r="AE35" i="1" s="1"/>
  <c r="AC41" i="1" l="1"/>
  <c r="AE43" i="1"/>
  <c r="AE44" i="1" s="1"/>
  <c r="AE45" i="1" s="1"/>
  <c r="AE46" i="1" s="1"/>
  <c r="AE37" i="1"/>
  <c r="AF33" i="1"/>
  <c r="AF34" i="1"/>
  <c r="AF35" i="1" s="1"/>
  <c r="AD38" i="1"/>
  <c r="AD39" i="1"/>
  <c r="AD41" i="1" l="1"/>
  <c r="AF43" i="1"/>
  <c r="AF44" i="1" s="1"/>
  <c r="AF45" i="1" s="1"/>
  <c r="AF46" i="1" s="1"/>
  <c r="AF37" i="1"/>
  <c r="AG33" i="1"/>
  <c r="AG34" i="1"/>
  <c r="AG35" i="1" s="1"/>
  <c r="AE40" i="1"/>
  <c r="AE38" i="1"/>
  <c r="AE39" i="1"/>
  <c r="AE41" i="1" l="1"/>
  <c r="AG43" i="1"/>
  <c r="W55" i="1" s="1"/>
  <c r="AG37" i="1"/>
  <c r="W57" i="1"/>
  <c r="W53" i="1"/>
  <c r="AF38" i="1"/>
  <c r="AF40" i="1"/>
  <c r="AF39" i="1"/>
  <c r="AF41" i="1" l="1"/>
  <c r="AG44" i="1"/>
  <c r="AG45" i="1" s="1"/>
  <c r="AG46" i="1" s="1"/>
  <c r="W58" i="1" s="1"/>
  <c r="AG40" i="1"/>
  <c r="AG39" i="1"/>
  <c r="AG38" i="1"/>
  <c r="AG41" i="1" l="1"/>
  <c r="W56" i="1"/>
  <c r="S64" i="1" s="1"/>
  <c r="E59" i="1" l="1"/>
  <c r="W59" i="1"/>
  <c r="W54" i="1"/>
  <c r="S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Etienne Jouin</author>
  </authors>
  <commentList>
    <comment ref="E11" authorId="0" shapeId="0" xr:uid="{CDDE8C03-409D-4F94-9365-62BCADF69BF1}">
      <text>
        <r>
          <rPr>
            <sz val="9"/>
            <color indexed="81"/>
            <rFont val="Tahoma"/>
            <family val="2"/>
          </rPr>
          <t>Entre 80 % et 100 % de la puissance en kWc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npoize</author>
    <author>utilisateur</author>
  </authors>
  <commentList>
    <comment ref="I12" authorId="0" shapeId="0" xr:uid="{00000000-0006-0000-0000-000001000000}">
      <text>
        <r>
          <rPr>
            <b/>
            <sz val="9"/>
            <color indexed="81"/>
            <rFont val="Tahoma"/>
            <family val="2"/>
          </rPr>
          <t>Supérieur à 57,5% en SCIC</t>
        </r>
        <r>
          <rPr>
            <sz val="9"/>
            <color indexed="81"/>
            <rFont val="Tahoma"/>
            <family val="2"/>
          </rPr>
          <t xml:space="preserve">
</t>
        </r>
      </text>
    </comment>
    <comment ref="I13" authorId="1" shapeId="0" xr:uid="{00000000-0006-0000-0000-000002000000}">
      <text>
        <r>
          <rPr>
            <b/>
            <sz val="9"/>
            <color indexed="81"/>
            <rFont val="Tahoma"/>
            <family val="2"/>
          </rPr>
          <t>utilisateur:</t>
        </r>
        <r>
          <rPr>
            <sz val="9"/>
            <color indexed="81"/>
            <rFont val="Tahoma"/>
            <family val="2"/>
          </rPr>
          <t xml:space="preserve">
calculé via la méthode du coût moyen pondéré du capital</t>
        </r>
      </text>
    </comment>
    <comment ref="I16" authorId="0" shapeId="0" xr:uid="{00000000-0006-0000-0000-000003000000}">
      <text>
        <r>
          <rPr>
            <b/>
            <sz val="9"/>
            <color indexed="81"/>
            <rFont val="Tahoma"/>
            <family val="2"/>
          </rPr>
          <t>A demander à la commune où siège la société locale
De l'ordre de 300 à 500€</t>
        </r>
      </text>
    </comment>
    <comment ref="D23" authorId="0" shapeId="0" xr:uid="{00000000-0006-0000-0000-000004000000}">
      <text>
        <r>
          <rPr>
            <sz val="9"/>
            <color indexed="81"/>
            <rFont val="Tahoma"/>
            <family val="2"/>
          </rPr>
          <t>charges exceptionnelles 1e année</t>
        </r>
      </text>
    </comment>
    <comment ref="N23" authorId="0" shapeId="0" xr:uid="{00000000-0006-0000-0000-000005000000}">
      <text>
        <r>
          <rPr>
            <b/>
            <sz val="9"/>
            <color indexed="81"/>
            <rFont val="Tahoma"/>
            <family val="2"/>
          </rPr>
          <t>Charges exceptionnelles de 11e année</t>
        </r>
      </text>
    </comment>
    <comment ref="B54" authorId="0" shapeId="0" xr:uid="{00000000-0006-0000-0000-000006000000}">
      <text>
        <r>
          <rPr>
            <b/>
            <sz val="9"/>
            <color indexed="81"/>
            <rFont val="Tahoma"/>
            <family val="2"/>
          </rPr>
          <t>Calculée sur tous les flux</t>
        </r>
        <r>
          <rPr>
            <sz val="9"/>
            <color indexed="81"/>
            <rFont val="Tahoma"/>
            <family val="2"/>
          </rPr>
          <t xml:space="preserve">
</t>
        </r>
      </text>
    </comment>
    <comment ref="S54" authorId="0" shapeId="0" xr:uid="{DE926B48-6259-4032-95E3-99AA2BBCABC0}">
      <text>
        <r>
          <rPr>
            <b/>
            <sz val="9"/>
            <color indexed="81"/>
            <rFont val="Tahoma"/>
            <family val="2"/>
          </rPr>
          <t>Calculée sur tous les flux</t>
        </r>
        <r>
          <rPr>
            <sz val="9"/>
            <color indexed="81"/>
            <rFont val="Tahoma"/>
            <family val="2"/>
          </rPr>
          <t xml:space="preserve">
</t>
        </r>
      </text>
    </comment>
    <comment ref="B56" authorId="0" shapeId="0" xr:uid="{00000000-0006-0000-0000-000007000000}">
      <text>
        <r>
          <rPr>
            <b/>
            <sz val="9"/>
            <color indexed="81"/>
            <rFont val="Tahoma"/>
            <family val="2"/>
          </rPr>
          <t>Calculs sur tous les flux sans les intérêts financiers</t>
        </r>
        <r>
          <rPr>
            <sz val="9"/>
            <color indexed="81"/>
            <rFont val="Tahoma"/>
            <family val="2"/>
          </rPr>
          <t xml:space="preserve">
</t>
        </r>
      </text>
    </comment>
    <comment ref="S56" authorId="0" shapeId="0" xr:uid="{94DC920A-99CE-4A35-BD5F-53106FA96843}">
      <text>
        <r>
          <rPr>
            <b/>
            <sz val="9"/>
            <color indexed="81"/>
            <rFont val="Tahoma"/>
            <family val="2"/>
          </rPr>
          <t>Calculs sur tous les flux sans les intérêts financiers</t>
        </r>
        <r>
          <rPr>
            <sz val="9"/>
            <color indexed="81"/>
            <rFont val="Tahoma"/>
            <family val="2"/>
          </rPr>
          <t xml:space="preserve">
</t>
        </r>
      </text>
    </comment>
  </commentList>
</comments>
</file>

<file path=xl/sharedStrings.xml><?xml version="1.0" encoding="utf-8"?>
<sst xmlns="http://schemas.openxmlformats.org/spreadsheetml/2006/main" count="303" uniqueCount="261">
  <si>
    <t>Structuration du financement</t>
  </si>
  <si>
    <t>Charges</t>
  </si>
  <si>
    <t>Soldes intermédiaires de gestion</t>
  </si>
  <si>
    <t>Taux d'indexation du tarif d'achat</t>
  </si>
  <si>
    <t>Inflation</t>
  </si>
  <si>
    <t>Valeur ajoutée</t>
  </si>
  <si>
    <t>Excédent Brut d'Exploitation</t>
  </si>
  <si>
    <t>Dotations aux amortissements</t>
  </si>
  <si>
    <t>Provisions</t>
  </si>
  <si>
    <t>Résultat d'Exploitation</t>
  </si>
  <si>
    <t>Résultat courant avant impôt</t>
  </si>
  <si>
    <t>Résultat Net Comptable</t>
  </si>
  <si>
    <t>Durée (ans)</t>
  </si>
  <si>
    <t>Frais financiers (remb. annuité constante)</t>
  </si>
  <si>
    <t>Taux d'actualisation</t>
  </si>
  <si>
    <t>Cash Flow Actualisés</t>
  </si>
  <si>
    <t>VAN</t>
  </si>
  <si>
    <t>Indicateurs de rentabilité</t>
  </si>
  <si>
    <t>Valeur Actuelle Nette sur 20 ans</t>
  </si>
  <si>
    <t>TRI du Projet</t>
  </si>
  <si>
    <t>Rentabilité financière (Résultat Net / Fonds propres)</t>
  </si>
  <si>
    <t>Cash Flow - investissement (pour le TRI)</t>
  </si>
  <si>
    <t>Rémunération des fonds propres</t>
  </si>
  <si>
    <t>Surface photovoltaïque (m2)</t>
  </si>
  <si>
    <t>Puissance photovoltaïque (kW)</t>
  </si>
  <si>
    <t>Recettes (€/an)</t>
  </si>
  <si>
    <t>Production annuelle (kWh/an)</t>
  </si>
  <si>
    <t xml:space="preserve">Description du projet PV </t>
  </si>
  <si>
    <t>Coût investissement (€)</t>
  </si>
  <si>
    <t>Charges (€/an)</t>
  </si>
  <si>
    <t>Emprunt bancaire (€)</t>
  </si>
  <si>
    <t xml:space="preserve">Ventes d'électicité </t>
  </si>
  <si>
    <t>Capacité d'Autofinancement</t>
  </si>
  <si>
    <t>Mise en réserves</t>
  </si>
  <si>
    <t>Taux CSG</t>
  </si>
  <si>
    <t>TURPE</t>
  </si>
  <si>
    <t>TOTAL</t>
  </si>
  <si>
    <t>Charges exceptionnelles 1ère année</t>
  </si>
  <si>
    <t>IMMATRICULATION</t>
  </si>
  <si>
    <t>Réserves cumulées</t>
  </si>
  <si>
    <t>Rémunération des fonds propres sur 20 ans</t>
  </si>
  <si>
    <t>Taux perte de production/an</t>
  </si>
  <si>
    <t>Mise en réserve années 1 à 3</t>
  </si>
  <si>
    <t>Mise en réserve de 4 à 20 ans</t>
  </si>
  <si>
    <t>Taux emprunt</t>
  </si>
  <si>
    <t>Taux de disponibilité centrale</t>
  </si>
  <si>
    <t>Déficit reportable</t>
  </si>
  <si>
    <t>Dividendes bruts distribuables</t>
  </si>
  <si>
    <t>Dividendes nets distribuables</t>
  </si>
  <si>
    <t>RENOUV MONITORING</t>
  </si>
  <si>
    <t>ANNEE 1</t>
  </si>
  <si>
    <t>ANNEE 11</t>
  </si>
  <si>
    <t>RACCO € HT</t>
  </si>
  <si>
    <t>TRAVAUX</t>
  </si>
  <si>
    <t>TRANCHEES</t>
  </si>
  <si>
    <t>COFFRETS</t>
  </si>
  <si>
    <t>MONITORING</t>
  </si>
  <si>
    <t>SURFACE (M2)</t>
  </si>
  <si>
    <t>MAINTENANCE</t>
  </si>
  <si>
    <t>ASSURANCES</t>
  </si>
  <si>
    <t>LOYERS</t>
  </si>
  <si>
    <t>Charges exceptionnelles 11ème année</t>
  </si>
  <si>
    <t>Intérêts CCA</t>
  </si>
  <si>
    <t>Bureau de contrôle</t>
  </si>
  <si>
    <t>Comptable</t>
  </si>
  <si>
    <t>INSTALL 5</t>
  </si>
  <si>
    <t>INSTALL 6</t>
  </si>
  <si>
    <t>INSTALL 7</t>
  </si>
  <si>
    <t>INSTALL 8</t>
  </si>
  <si>
    <t>INSTALL 9</t>
  </si>
  <si>
    <t>Modèle statutaire</t>
  </si>
  <si>
    <t>SAS</t>
  </si>
  <si>
    <t>SCIC / SAS</t>
  </si>
  <si>
    <t>Impôts</t>
  </si>
  <si>
    <t>sans plan de trésorerie</t>
  </si>
  <si>
    <t>INSTALL 10</t>
  </si>
  <si>
    <t>Comptes-courants d'associés</t>
  </si>
  <si>
    <t>INSTALL 11</t>
  </si>
  <si>
    <t>INSTALL 12</t>
  </si>
  <si>
    <t>INSTALL 13</t>
  </si>
  <si>
    <t>INSTALL 14</t>
  </si>
  <si>
    <t>INSTALL 15</t>
  </si>
  <si>
    <t>INSTALL 16</t>
  </si>
  <si>
    <t>Cases en gris calculées</t>
  </si>
  <si>
    <t>Hypothèses</t>
  </si>
  <si>
    <t>Nombre de parts</t>
  </si>
  <si>
    <t>Montant de la part</t>
  </si>
  <si>
    <t>Cases en jaune à remplir ou modifier</t>
  </si>
  <si>
    <t>Taxe CFE €/an</t>
  </si>
  <si>
    <t>Nom installation</t>
  </si>
  <si>
    <t xml:space="preserve">PV </t>
  </si>
  <si>
    <t>INVESTISSEMENTS (€/HT)</t>
  </si>
  <si>
    <t>DETAIL DES CHARGES ANNUELLES (€ HT/ AN)</t>
  </si>
  <si>
    <t>FRAIS BANCAIRES</t>
  </si>
  <si>
    <t>AIDE AU CHIFFRAGE</t>
  </si>
  <si>
    <t>Travaux annexes pris en charge par la société locale (renforcement charpente, déplacement velux, etc.)</t>
  </si>
  <si>
    <t>Estimation sur devis</t>
  </si>
  <si>
    <t>Sur devis en fonction de la distance à chiffrer</t>
  </si>
  <si>
    <t>Servent de protection / habillage pour les onduleurs situés en extérieur (facultatif)</t>
  </si>
  <si>
    <t>Extension garantie onduleurs</t>
  </si>
  <si>
    <t>Facultatif - Permet de remplacer automatiquement un onduleur défectueux pendant 10 ans ou 20 ans</t>
  </si>
  <si>
    <t>Maintenance</t>
  </si>
  <si>
    <t>Assurances</t>
  </si>
  <si>
    <t>Loyers</t>
  </si>
  <si>
    <t>Tenue compte</t>
  </si>
  <si>
    <t>Divers</t>
  </si>
  <si>
    <t>Selon banque dans laquelle le compte de la société est ouvert</t>
  </si>
  <si>
    <r>
      <t>Surface m</t>
    </r>
    <r>
      <rPr>
        <b/>
        <vertAlign val="superscript"/>
        <sz val="12"/>
        <color theme="1"/>
        <rFont val="Calibri"/>
        <family val="2"/>
        <scheme val="minor"/>
      </rPr>
      <t>2</t>
    </r>
  </si>
  <si>
    <t>INSTALL 17</t>
  </si>
  <si>
    <t>INSTALL 18</t>
  </si>
  <si>
    <t>INSTALL 19</t>
  </si>
  <si>
    <t>INSTALL 20</t>
  </si>
  <si>
    <t>Puissance kWc</t>
  </si>
  <si>
    <t>RACCORDEMENT</t>
  </si>
  <si>
    <t>Location des toitures publiques et privées - Peut être négocié avec les propriétaires</t>
  </si>
  <si>
    <t>Frais associés au prêt bancaire</t>
  </si>
  <si>
    <t>non</t>
  </si>
  <si>
    <t>oui</t>
  </si>
  <si>
    <t>TOTAL SUR LA SELECTION</t>
  </si>
  <si>
    <t>Taux (%)</t>
  </si>
  <si>
    <t>Production kWh/an</t>
  </si>
  <si>
    <t>Capital apporté</t>
  </si>
  <si>
    <t>Cash flow - TRI sur fonds propres</t>
  </si>
  <si>
    <t xml:space="preserve">SYSTÈME PV </t>
  </si>
  <si>
    <t>AIDE A LA SAISIE</t>
  </si>
  <si>
    <t xml:space="preserve">Système PV = panneaux + système d'intégration + onduleur + câbles + boitiers </t>
  </si>
  <si>
    <t>Tranchées en zone privée entre onduleur et coffrets ENEDIS en limite de propriété</t>
  </si>
  <si>
    <t xml:space="preserve">Pour les ERP uniquement </t>
  </si>
  <si>
    <t>Périmètre sélectionné</t>
  </si>
  <si>
    <t>CHARGES EXCEPTIONNELLES (€ HT)</t>
  </si>
  <si>
    <t>RENOUV ONDULEURS</t>
  </si>
  <si>
    <t>ANNEES 11 A 15</t>
  </si>
  <si>
    <t>Charges exceptionnelles années 11 à 15</t>
  </si>
  <si>
    <t>Subvention</t>
  </si>
  <si>
    <t>Part fonds propres</t>
  </si>
  <si>
    <t>Coût système PV €/Wc</t>
  </si>
  <si>
    <t>De l'ordre de 1000 à 1500€</t>
  </si>
  <si>
    <t>Soit comptable local soit comptable proposé par l'Association</t>
  </si>
  <si>
    <t>Prévoir une marge minimum de 500 € / an environ (sur l'ensemble de la tranche)</t>
  </si>
  <si>
    <t>IFER</t>
  </si>
  <si>
    <t>VISITE PERIODIQUE ERP</t>
  </si>
  <si>
    <t>COMPTABILITE</t>
  </si>
  <si>
    <t>DIVERS</t>
  </si>
  <si>
    <t>TENUE COMPTE</t>
  </si>
  <si>
    <t>DEPOT COMPTES AU GREFFE</t>
  </si>
  <si>
    <t>Dépôt comptes au Greffe</t>
  </si>
  <si>
    <t>Monitoring</t>
  </si>
  <si>
    <t>Coût variable entre 0 et 100€ / an par installation. Prévoir routeur ou carte SIM en sus si besoin d'internet</t>
  </si>
  <si>
    <t>Visite périodique ERP</t>
  </si>
  <si>
    <t>BUREAU DE CONTRÔLE ERP</t>
  </si>
  <si>
    <t>EXTENSION ONDULEURS 20 ANS</t>
  </si>
  <si>
    <t>FRAIS DE NOTAIRES</t>
  </si>
  <si>
    <t>AUTRE  (Etudes, AMO, etc)</t>
  </si>
  <si>
    <t>Datalogger : environ 600€</t>
  </si>
  <si>
    <t>Frais de notaire</t>
  </si>
  <si>
    <t>Pour les bâtiments privés uniquement (COT sans notaire pour bâtiments publics)</t>
  </si>
  <si>
    <t>Entre 300 et 1000€ selon taille et matériaux</t>
  </si>
  <si>
    <t>Taxes (CFE, IFER)</t>
  </si>
  <si>
    <t>Part injectée sur le réseau (kWh)</t>
  </si>
  <si>
    <t>Indexation tarif 3 %/an</t>
  </si>
  <si>
    <t>Recettes totales €HT</t>
  </si>
  <si>
    <t>Recettes vente locale aux consomateurs €HT/an</t>
  </si>
  <si>
    <t>Le tarif du surplus injecté sur le réseau est soit le tarif de l'obligation d'achat en vente totale (si la société CV fait appel au S21) soit un tarif de gré à gré si la société CV traite avec un acheteur en dehors de l'arrêté S21</t>
  </si>
  <si>
    <t>Part autoconsommée par les consommateurs éligibles au [TARIF 1] (kWh)</t>
  </si>
  <si>
    <t>Part autoconsommée par les consommateurs éligibles au [TARIF 2] (kWh)</t>
  </si>
  <si>
    <t>Indexation [TARIF 2] %/an</t>
  </si>
  <si>
    <t>Part autoconsommée par les consommateurs éligibles au [TARIF 3] (kWh)</t>
  </si>
  <si>
    <t>Indexation [TARIF 1] %/an</t>
  </si>
  <si>
    <t>[TARIF 1] solaire c€ HT/kWh</t>
  </si>
  <si>
    <t>[TARIF 2] solaire c€ HT/kWh</t>
  </si>
  <si>
    <t>[TARIF 3] solaire c€ HT/kWh</t>
  </si>
  <si>
    <t>Enfin la société CV étant producteur et en charge de la facturation, elle propose nécessairement un seul tarif par consommateur. S'il y a plusieurs installations PV, on considère donc que celles-ci vendent au même prix pour un consommateur donné.</t>
  </si>
  <si>
    <t>Charges GESTION ACC</t>
  </si>
  <si>
    <t>Charges Gestion ACC</t>
  </si>
  <si>
    <t>Correspond à la sous-traitance du travail de gestion de l'opération (traitement des données ENEDIS, facturation…)</t>
  </si>
  <si>
    <t>Version</t>
  </si>
  <si>
    <t>&gt;&gt;</t>
  </si>
  <si>
    <t>Quels sont les onglets à remplir?</t>
  </si>
  <si>
    <t>VIABILITE ECONOMIQUE DES INSTALLATIONS PV DANS  LE CADRE D'UN PROJET D'AUTOCONSOMMATION COLLECTIVE</t>
  </si>
  <si>
    <t>&gt;&gt; Il faut saisir dans DECAISSEMENTS les hypothèses de coûts en matière d'investissement et de charges.</t>
  </si>
  <si>
    <t>DECAISSEMENTS (INVESTISSEMENTS ET CHARGES) ASSOCIES AUX INSTALLATIONS PV DE L'OPERATION ACC</t>
  </si>
  <si>
    <t>ENCAISSEMENTS ANNUELS (RECETTES ISSUES DE LA VENTE D'ENERGIE)</t>
  </si>
  <si>
    <t>INSTALL 1</t>
  </si>
  <si>
    <t>INSTALL 2</t>
  </si>
  <si>
    <t>INSTALL 3</t>
  </si>
  <si>
    <t>INSTALL 4</t>
  </si>
  <si>
    <t>Généralement entre 0,5€ et 2 € / m2 de PV / an</t>
  </si>
  <si>
    <t>Ne concerne que les installations d'une puissance supérieure ou égale à 100 kVA</t>
  </si>
  <si>
    <t>AUTEURS</t>
  </si>
  <si>
    <t xml:space="preserve">Association des Centrales Villageoises </t>
  </si>
  <si>
    <t>Date</t>
  </si>
  <si>
    <t>VERSION</t>
  </si>
  <si>
    <t>Statut outil</t>
  </si>
  <si>
    <t>Conditions d’utilisation</t>
  </si>
  <si>
    <t xml:space="preserve">Cet outil est diffusé en libre accès depuis le site www.centralesvillageoises.fr </t>
  </si>
  <si>
    <t>Il peut être exploité dans le cadre de la licence CC-by-sa 4.0. En savoir plus</t>
  </si>
  <si>
    <t>Toute proposition d'amélioration ou de correctif est la bienvenue à l'adresse association@centralesvillageoises.fr</t>
  </si>
  <si>
    <t>Public</t>
  </si>
  <si>
    <t>Pour un branchement sec, sans renforcement de réseau, compter autour de 1500 €HT (si &gt;36 kVA)</t>
  </si>
  <si>
    <t>Sur devis installateur ou directement auprès du constructeur (tarifs accesibles en ligne)</t>
  </si>
  <si>
    <t>De l'ordre de 1000 €</t>
  </si>
  <si>
    <t>Puissance raccordement kVA</t>
  </si>
  <si>
    <t>Résultat cumulé sur 20 ans (sans actualisation)</t>
  </si>
  <si>
    <t xml:space="preserve">Moyenne DSCR </t>
  </si>
  <si>
    <t>Taux de couverture de la dette (DSCR)</t>
  </si>
  <si>
    <t>Résultat cumulé sur 30 ans (sans actualisation)</t>
  </si>
  <si>
    <t>Valeur Actuelle Nette sur 30 ans</t>
  </si>
  <si>
    <t>V4</t>
  </si>
  <si>
    <t>Remplir uniquement les cases en jaune</t>
  </si>
  <si>
    <t>Variables selon toitures,  sysèmes d'intégration, surfaces, etc. - Voir statistiques des précédents projets</t>
  </si>
  <si>
    <t>Variable selon les contraintes du réseau - Montant exact donné dans la Proposition De Raccordement (PDR) ENEDIS</t>
  </si>
  <si>
    <t>Pas d'investissement si solution onduleur utilisée</t>
  </si>
  <si>
    <t>Estimation minimale par défaut €HT/An</t>
  </si>
  <si>
    <t>selon https://www.infogreffe.fr/formalites-entreprise/depot-des-comptes.html</t>
  </si>
  <si>
    <t>Prévoir une visite annuelle complète. Sur devis installateur et selon  tailles d'installations.</t>
  </si>
  <si>
    <t>Pour un 36 kWc</t>
  </si>
  <si>
    <t>Pour un 100 kWc</t>
  </si>
  <si>
    <t xml:space="preserve">Installation 36kWc </t>
  </si>
  <si>
    <t>Installation 100 kWc</t>
  </si>
  <si>
    <t>Installation 250 kWc</t>
  </si>
  <si>
    <t>Pour 2025 :</t>
  </si>
  <si>
    <t>Puissance &lt; 36 kVA</t>
  </si>
  <si>
    <t xml:space="preserve">Entre 36 et 250 kVA </t>
  </si>
  <si>
    <t>Au-delà de 250 kVA</t>
  </si>
  <si>
    <t>Selon la solution technique choisie datalogger + plateforme indépendante,  solution onduleur…</t>
  </si>
  <si>
    <t>Compliqué à estimer car très différent selon les ERP (la fréquence des visites peut être annuelle ou beaucoup moins fréquente)
Cout de la vérification estimé entre 50 € (si réalisé en parallèle de la visite du bâtiment) et 300€ (si réalisé indépendamment)</t>
  </si>
  <si>
    <t>CHARGES FIXES SOCIETE 
(€ HT / AN)</t>
  </si>
  <si>
    <t>Total société</t>
  </si>
  <si>
    <t>CHARGES EXPLOITATION (€ HT / AN)</t>
  </si>
  <si>
    <t>ANNEE 22 A 26</t>
  </si>
  <si>
    <t>AIDE A LA SAISIE (estimation pré-remplie, à modifier si besoin)</t>
  </si>
  <si>
    <t>Frais initiaux d'immatrioculation de la société locale (environ 400€)</t>
  </si>
  <si>
    <t>Renouvellement des boitiers de monitoring au bout de 11 ans: prévoir 70% du coût initial par installation</t>
  </si>
  <si>
    <t>Gamme racco</t>
  </si>
  <si>
    <t>Taux par kVA raccordé et par an :</t>
  </si>
  <si>
    <t>Productible (kWh/kWc)</t>
  </si>
  <si>
    <t>Tarif achat années 21-30 (c€/kWh) (option)</t>
  </si>
  <si>
    <t>Obj. rémunération fonds pr.</t>
  </si>
  <si>
    <t>Coût total projet € HT/Wc</t>
  </si>
  <si>
    <t>BUSINESS PLAN POUR PROJET ACC - exemple</t>
  </si>
  <si>
    <t>Ratios</t>
  </si>
  <si>
    <t>Tarif d'achat c€/kWh</t>
  </si>
  <si>
    <t>&gt;&gt; Il faut saisir dans ENCAISSEMENTS les hypothèses en matière de recettes issues de la vente d'énergie. Le fichier peut être utilisé pour 
- des installations uniquement en vente totale (tout ce qui est injecté bénéficie d'un tarif d'achat)
- des installations en autoconsommation collective. Dans ce cas il est possible de définir (en plus du tarif d'achat pour le surplus non autoconsommé) 3 tarifs de vente différents correspondant à 3 catégories de consommateurs (acheteurs) distincts. Il est aussi possible d'indexer de façon indépendante ces 3 tarifs.</t>
  </si>
  <si>
    <t>Quels sont les résultats fournis?</t>
  </si>
  <si>
    <t>&gt;&gt; L'onglet SIG (Soldes Intermédiaires de Gestion) fournit à partir de la ligne 51 les indicateurs de rentabilité habituiels d'un projet photovoltaïque : TRI (Taux de Rendement Interne), VAN (Valeur Actuelle Nette), TRA (Temps de Retour Actualisé), etc. Un graphique permet de mieux visualiser le temps de retour, à la fois sur une durée de 20 ans et sur une durée de 30 ans.</t>
  </si>
  <si>
    <t xml:space="preserve">Dans ce tableur la société Centrales Villageoises peut simuler la vente d'énergie par plusieurs installations de production lui appartenant (jusqu'à 20). La vente peut se faire uniquement avec un tarif d'acahat ou au sein d'une une boucle d'autoconsommation collective (ACC).  </t>
  </si>
  <si>
    <r>
      <rPr>
        <b/>
        <u/>
        <sz val="12"/>
        <rFont val="Calibri"/>
        <family val="2"/>
        <scheme val="minor"/>
      </rPr>
      <t>En cas d'ACC</t>
    </r>
    <r>
      <rPr>
        <sz val="12"/>
        <rFont val="Calibri"/>
        <family val="2"/>
        <scheme val="minor"/>
      </rPr>
      <t>, on a limité à 3 le nombre de tarifs différents possibles. Autrement dit, s'il y a 50 consommateurs, on ne peut pas considérer 50 tarifs différents, mais jusqu'à 3 tarifs, qui peuvent s'appliquer par exemple à 3 catégories de consommateurs.</t>
    </r>
  </si>
  <si>
    <t>Recettes vente au réseau (€ HT)</t>
  </si>
  <si>
    <t>COLONNES DE DROITE A REMPLIR UNIQUEMENT EN CAS D'AUTOCONSOMMATION COLLECTIVE</t>
  </si>
  <si>
    <t>Le tarif de l'électricitée vendue sur le réseau est soit le tarif de l'obligation d'achat en vente totale (si la société CV fait appel au S21) soit un tarif de gré à gré si la société CV traite avec un acheteur en dehors de l'arrêté S21</t>
  </si>
  <si>
    <t>Les tarifs indiqués pour la vente de l'énergie solaire sont les tarifs de fourniture (hors TURPE et taxes qui sont ensuite appliqués sur la facture des consommateurs).</t>
  </si>
  <si>
    <t>Taxe annuelle pour l'utilisation du réseau public d'électricité. M.A.J. Février 2025</t>
  </si>
  <si>
    <t>Mise à jour: Février 2025</t>
  </si>
  <si>
    <t>Cet outil a été développé par l'Association des Centrales Villageoises dans le but de guider les porteurs de projets dans leurs projets photovoltaïques en vente totale et/ou autoconsommation collective.
Les résultats sont donnés à titre indicatifs et n'engagent en rien l'Association. 
Cet outil ne doit pas faire l'objet d'une activité commerciale. 
Toute proposition d'amélioration ou de correctif est la bienvenue à l'adresse association@centralesvillageoises.fr</t>
  </si>
  <si>
    <t>Rémunération des fonds propres sur 30 ans</t>
  </si>
  <si>
    <t>La part autoconsommée à saisir correspond à la somme des autoconsommations pour le groupe d'autoconsommateurs de la même catégorie de tarif, à laquelle on applique un prorata de la puissance de l'installation PV concernée (par rapport à la somme des puissances de production). Exemple : en case N11, on saisit le cumul des parts autoconsommées par tous les consommateurs éligibles au TARIF 1 (à partir des fichiers Agrégation CDC ou Impact factures) et on applique le ratio D11/D32.</t>
  </si>
  <si>
    <t>Ordre de grandeur selon barème MAIF 2025 (offre Energie Partagée)</t>
  </si>
  <si>
    <t>Temps de Retour Actualisé (TRA)</t>
  </si>
  <si>
    <t>Renouvellement des onduleurs défaillants sur les années 11, 12, 13, 14, 15 (si extension de garantie non souscrite) et 23, 24, 25, 26 - Compter 70% puis 50% du coût initial estimé à 14% / 12% / 8% du cout total Système PV selon la taille (inf 36 / inf 100 / inf 250)</t>
  </si>
  <si>
    <t>Cet outil est la fusion des 2 outils précédents (2024) : DEV_FIN_05B_SIMU_DVP et DEV_FIN_05B_SIMU_DVP_ACC</t>
  </si>
  <si>
    <t>Charges exceptionnelles années 21 à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</si>
</sst>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164" formatCode="_-* #,##0.00\ _€_-;\-* #,##0.00\ _€_-;_-* &quot;-&quot;??\ _€_-;_-@_-"/>
    <numFmt numFmtId="165" formatCode="0.0%"/>
    <numFmt numFmtId="166" formatCode="#,##0.0\ _€"/>
    <numFmt numFmtId="167" formatCode="#,##0_ ;\-#,##0\ "/>
    <numFmt numFmtId="168" formatCode="#,##0\ &quot;€&quot;"/>
  </numFmts>
  <fonts count="54">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theme="3" tint="0.3999755851924192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6"/>
      <color theme="1"/>
      <name val="Calibri"/>
      <family val="2"/>
      <scheme val="minor"/>
    </font>
    <font>
      <sz val="16"/>
      <color theme="1"/>
      <name val="Calibri"/>
      <family val="2"/>
      <scheme val="minor"/>
    </font>
    <font>
      <sz val="10"/>
      <name val="MS Sans Serif"/>
      <family val="2"/>
    </font>
    <font>
      <sz val="10"/>
      <name val="Arial"/>
      <family val="2"/>
    </font>
    <font>
      <b/>
      <i/>
      <sz val="10"/>
      <name val="Arial"/>
      <family val="2"/>
    </font>
    <font>
      <sz val="10"/>
      <color indexed="10"/>
      <name val="Arial"/>
      <family val="2"/>
    </font>
    <font>
      <b/>
      <sz val="10"/>
      <color theme="0"/>
      <name val="Arial"/>
      <family val="2"/>
    </font>
    <font>
      <b/>
      <i/>
      <sz val="11"/>
      <color theme="8" tint="-0.249977111117893"/>
      <name val="Calibri"/>
      <family val="2"/>
      <scheme val="minor"/>
    </font>
    <font>
      <i/>
      <sz val="11"/>
      <color theme="8" tint="-0.249977111117893"/>
      <name val="Calibri"/>
      <family val="2"/>
      <scheme val="minor"/>
    </font>
    <font>
      <sz val="11"/>
      <color theme="8" tint="-0.249977111117893"/>
      <name val="Calibri"/>
      <family val="2"/>
      <scheme val="minor"/>
    </font>
    <font>
      <sz val="9"/>
      <color indexed="81"/>
      <name val="Tahoma"/>
      <family val="2"/>
    </font>
    <font>
      <b/>
      <sz val="9"/>
      <color indexed="81"/>
      <name val="Tahoma"/>
      <family val="2"/>
    </font>
    <font>
      <b/>
      <sz val="20"/>
      <color theme="0"/>
      <name val="Calibri"/>
      <family val="2"/>
      <scheme val="minor"/>
    </font>
    <font>
      <sz val="12"/>
      <color theme="1"/>
      <name val="Calibri"/>
      <family val="2"/>
      <scheme val="minor"/>
    </font>
    <font>
      <b/>
      <sz val="12"/>
      <color theme="1"/>
      <name val="Calibri"/>
      <family val="2"/>
      <scheme val="minor"/>
    </font>
    <font>
      <sz val="11"/>
      <color rgb="FFFFFF00"/>
      <name val="Calibri"/>
      <family val="2"/>
      <scheme val="minor"/>
    </font>
    <font>
      <sz val="10"/>
      <name val="Arial"/>
      <family val="2"/>
    </font>
    <font>
      <i/>
      <sz val="11"/>
      <color theme="1"/>
      <name val="Calibri"/>
      <family val="2"/>
      <scheme val="minor"/>
    </font>
    <font>
      <i/>
      <sz val="11"/>
      <name val="Calibri"/>
      <family val="2"/>
      <scheme val="minor"/>
    </font>
    <font>
      <b/>
      <i/>
      <sz val="11"/>
      <color theme="3" tint="-0.249977111117893"/>
      <name val="Calibri"/>
      <family val="2"/>
      <scheme val="minor"/>
    </font>
    <font>
      <i/>
      <sz val="11"/>
      <color theme="3" tint="-0.249977111117893"/>
      <name val="Calibri"/>
      <family val="2"/>
      <scheme val="minor"/>
    </font>
    <font>
      <sz val="11"/>
      <color theme="3" tint="-0.249977111117893"/>
      <name val="Calibri"/>
      <family val="2"/>
      <scheme val="minor"/>
    </font>
    <font>
      <b/>
      <sz val="14"/>
      <color theme="1"/>
      <name val="Calibri"/>
      <family val="2"/>
      <scheme val="minor"/>
    </font>
    <font>
      <b/>
      <vertAlign val="superscript"/>
      <sz val="12"/>
      <color theme="1"/>
      <name val="Calibri"/>
      <family val="2"/>
      <scheme val="minor"/>
    </font>
    <font>
      <sz val="16"/>
      <name val="Calibri"/>
      <family val="2"/>
      <scheme val="minor"/>
    </font>
    <font>
      <u/>
      <sz val="16"/>
      <color theme="9" tint="-0.249977111117893"/>
      <name val="Calibri"/>
      <family val="2"/>
      <scheme val="minor"/>
    </font>
    <font>
      <u/>
      <sz val="11"/>
      <color theme="10"/>
      <name val="Calibri"/>
      <family val="2"/>
      <scheme val="minor"/>
    </font>
    <font>
      <b/>
      <sz val="14"/>
      <color theme="9" tint="-0.249977111117893"/>
      <name val="Calibri"/>
      <family val="2"/>
      <scheme val="minor"/>
    </font>
    <font>
      <b/>
      <sz val="11"/>
      <name val="Calibri"/>
      <family val="2"/>
      <scheme val="minor"/>
    </font>
    <font>
      <sz val="11"/>
      <color rgb="FFFF0000"/>
      <name val="Calibri"/>
      <family val="2"/>
      <scheme val="minor"/>
    </font>
    <font>
      <b/>
      <u/>
      <sz val="14"/>
      <name val="Calibri"/>
      <family val="2"/>
      <scheme val="minor"/>
    </font>
    <font>
      <b/>
      <sz val="14"/>
      <name val="Calibri"/>
      <family val="2"/>
      <scheme val="minor"/>
    </font>
    <font>
      <b/>
      <sz val="20"/>
      <color theme="0" tint="-4.9989318521683403E-2"/>
      <name val="Calibri"/>
      <family val="2"/>
      <scheme val="minor"/>
    </font>
    <font>
      <b/>
      <u/>
      <sz val="16"/>
      <color theme="9" tint="-0.249977111117893"/>
      <name val="Calibri"/>
      <family val="2"/>
      <scheme val="minor"/>
    </font>
    <font>
      <sz val="8"/>
      <name val="Calibri"/>
      <family val="2"/>
      <scheme val="minor"/>
    </font>
    <font>
      <b/>
      <sz val="18"/>
      <color theme="1"/>
      <name val="Calibri"/>
      <family val="2"/>
      <scheme val="minor"/>
    </font>
    <font>
      <b/>
      <sz val="11"/>
      <color theme="9"/>
      <name val="Calibri"/>
      <family val="2"/>
      <scheme val="minor"/>
    </font>
    <font>
      <sz val="12"/>
      <name val="Calibri"/>
      <family val="2"/>
      <scheme val="minor"/>
    </font>
    <font>
      <sz val="12"/>
      <color rgb="FFFF0000"/>
      <name val="Calibri"/>
      <family val="2"/>
      <scheme val="minor"/>
    </font>
    <font>
      <b/>
      <sz val="12"/>
      <color theme="1"/>
      <name val="Beon"/>
    </font>
    <font>
      <sz val="12"/>
      <color rgb="FFE36C0A"/>
      <name val="Altair"/>
    </font>
    <font>
      <b/>
      <sz val="11"/>
      <color rgb="FFFF0000"/>
      <name val="Calibri"/>
      <family val="2"/>
      <scheme val="minor"/>
    </font>
    <font>
      <b/>
      <sz val="14"/>
      <color rgb="FFFF0000"/>
      <name val="Calibri"/>
      <family val="2"/>
      <scheme val="minor"/>
    </font>
    <font>
      <i/>
      <sz val="12"/>
      <name val="Calibri"/>
      <family val="2"/>
      <scheme val="minor"/>
    </font>
    <font>
      <b/>
      <u/>
      <sz val="12"/>
      <name val="Calibri"/>
      <family val="2"/>
      <scheme val="minor"/>
    </font>
    <font>
      <b/>
      <sz val="16"/>
      <color theme="9" tint="-0.499984740745262"/>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indexed="43"/>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8"/>
        <bgColor indexed="64"/>
      </patternFill>
    </fill>
    <fill>
      <patternFill patternType="solid">
        <fgColor theme="9"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bottom/>
      <diagonal/>
    </border>
    <border>
      <left style="medium">
        <color rgb="FF808080"/>
      </left>
      <right/>
      <top/>
      <bottom/>
      <diagonal/>
    </border>
    <border>
      <left/>
      <right style="medium">
        <color rgb="FF808080"/>
      </right>
      <top/>
      <bottom/>
      <diagonal/>
    </border>
    <border>
      <left style="medium">
        <color rgb="FF808080"/>
      </left>
      <right/>
      <top/>
      <bottom style="medium">
        <color rgb="FF808080"/>
      </bottom>
      <diagonal/>
    </border>
    <border>
      <left/>
      <right/>
      <top/>
      <bottom style="medium">
        <color rgb="FF808080"/>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bottom/>
      <diagonal/>
    </border>
  </borders>
  <cellStyleXfs count="40">
    <xf numFmtId="0" fontId="0" fillId="0" borderId="0"/>
    <xf numFmtId="9" fontId="1" fillId="0" borderId="0" applyFont="0" applyFill="0" applyBorder="0" applyAlignment="0" applyProtection="0"/>
    <xf numFmtId="0" fontId="10" fillId="0" borderId="0"/>
    <xf numFmtId="4" fontId="11" fillId="3" borderId="4" applyNumberFormat="0" applyFont="0" applyBorder="0" applyAlignment="0">
      <alignment horizontal="center"/>
      <protection locked="0"/>
    </xf>
    <xf numFmtId="44" fontId="11" fillId="0" borderId="0" applyFont="0" applyFill="0" applyBorder="0" applyAlignment="0" applyProtection="0"/>
    <xf numFmtId="40" fontId="10" fillId="0" borderId="0" applyFont="0" applyFill="0" applyBorder="0" applyAlignment="0" applyProtection="0"/>
    <xf numFmtId="0" fontId="11" fillId="0" borderId="0"/>
    <xf numFmtId="0" fontId="11" fillId="0" borderId="0"/>
    <xf numFmtId="9" fontId="10"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0" fillId="0" borderId="0"/>
    <xf numFmtId="40" fontId="10" fillId="0" borderId="0" applyFont="0" applyFill="0" applyBorder="0" applyAlignment="0" applyProtection="0"/>
    <xf numFmtId="9" fontId="10"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1" fillId="0" borderId="0" applyFont="0" applyFill="0" applyBorder="0" applyAlignment="0" applyProtection="0"/>
    <xf numFmtId="0" fontId="24" fillId="0" borderId="0"/>
    <xf numFmtId="0" fontId="34" fillId="0" borderId="0" applyNumberFormat="0" applyFill="0" applyBorder="0" applyAlignment="0" applyProtection="0"/>
    <xf numFmtId="0" fontId="1" fillId="0" borderId="0"/>
  </cellStyleXfs>
  <cellXfs count="335">
    <xf numFmtId="0" fontId="0" fillId="0" borderId="0" xfId="0"/>
    <xf numFmtId="0" fontId="2" fillId="0" borderId="1" xfId="0" applyFont="1" applyBorder="1"/>
    <xf numFmtId="0" fontId="0" fillId="0" borderId="0" xfId="0" applyAlignment="1">
      <alignment wrapText="1"/>
    </xf>
    <xf numFmtId="0" fontId="12" fillId="0" borderId="8" xfId="2" applyFont="1" applyBorder="1" applyAlignment="1">
      <alignment wrapText="1"/>
    </xf>
    <xf numFmtId="0" fontId="14" fillId="4" borderId="5"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14" fillId="4" borderId="7" xfId="2" applyNumberFormat="1" applyFont="1" applyFill="1" applyBorder="1" applyAlignment="1">
      <alignment horizontal="center" vertical="center" wrapText="1"/>
    </xf>
    <xf numFmtId="0" fontId="14" fillId="4" borderId="6" xfId="2" applyFont="1" applyFill="1" applyBorder="1" applyAlignment="1">
      <alignment horizontal="center" vertical="center" wrapText="1"/>
    </xf>
    <xf numFmtId="0" fontId="11" fillId="0" borderId="0" xfId="2" applyFont="1" applyAlignment="1">
      <alignment wrapText="1"/>
    </xf>
    <xf numFmtId="0" fontId="13" fillId="0" borderId="0" xfId="2" applyFont="1" applyAlignment="1">
      <alignment wrapText="1"/>
    </xf>
    <xf numFmtId="0" fontId="0" fillId="0" borderId="0" xfId="0" applyAlignment="1">
      <alignment horizontal="center"/>
    </xf>
    <xf numFmtId="0" fontId="0" fillId="0" borderId="0" xfId="0" applyAlignment="1">
      <alignment vertical="center" wrapText="1"/>
    </xf>
    <xf numFmtId="0" fontId="0" fillId="0" borderId="1" xfId="0" applyBorder="1"/>
    <xf numFmtId="0" fontId="0" fillId="0" borderId="1" xfId="0" applyBorder="1" applyAlignment="1">
      <alignment horizontal="center"/>
    </xf>
    <xf numFmtId="0" fontId="21" fillId="0" borderId="0" xfId="0" applyFont="1" applyAlignment="1">
      <alignment vertical="center"/>
    </xf>
    <xf numFmtId="0" fontId="23" fillId="0" borderId="0" xfId="0" applyFont="1"/>
    <xf numFmtId="0" fontId="26" fillId="0" borderId="0" xfId="0" applyFont="1"/>
    <xf numFmtId="0" fontId="26" fillId="0" borderId="0" xfId="0" applyFont="1" applyAlignment="1">
      <alignment horizontal="center"/>
    </xf>
    <xf numFmtId="0" fontId="26" fillId="0" borderId="0" xfId="0" applyFont="1" applyAlignment="1">
      <alignment horizontal="right"/>
    </xf>
    <xf numFmtId="2" fontId="0" fillId="0" borderId="0" xfId="0" applyNumberFormat="1" applyAlignment="1">
      <alignment horizontal="center"/>
    </xf>
    <xf numFmtId="1" fontId="0" fillId="7" borderId="1" xfId="0" applyNumberFormat="1" applyFill="1" applyBorder="1" applyAlignment="1">
      <alignment horizontal="center"/>
    </xf>
    <xf numFmtId="0" fontId="9" fillId="0" borderId="0" xfId="0" applyFont="1" applyAlignment="1">
      <alignment wrapText="1"/>
    </xf>
    <xf numFmtId="0" fontId="25" fillId="0" borderId="0" xfId="0" applyFont="1"/>
    <xf numFmtId="0" fontId="0" fillId="0" borderId="0" xfId="0" applyAlignment="1">
      <alignment horizontal="center" wrapText="1"/>
    </xf>
    <xf numFmtId="0" fontId="5" fillId="2" borderId="0" xfId="0" applyFont="1" applyFill="1" applyAlignment="1">
      <alignment wrapText="1"/>
    </xf>
    <xf numFmtId="0" fontId="6" fillId="2" borderId="0" xfId="0" applyFont="1" applyFill="1" applyAlignment="1">
      <alignment wrapText="1"/>
    </xf>
    <xf numFmtId="0" fontId="5" fillId="2" borderId="0" xfId="0" applyFont="1" applyFill="1"/>
    <xf numFmtId="0" fontId="4" fillId="0" borderId="0" xfId="0" applyFont="1" applyAlignment="1">
      <alignment wrapText="1"/>
    </xf>
    <xf numFmtId="1" fontId="0" fillId="7" borderId="1" xfId="0" applyNumberFormat="1" applyFill="1" applyBorder="1" applyAlignment="1">
      <alignment horizontal="center" vertical="center" wrapText="1"/>
    </xf>
    <xf numFmtId="0" fontId="2" fillId="0" borderId="0" xfId="0" applyFont="1" applyAlignment="1">
      <alignment wrapText="1"/>
    </xf>
    <xf numFmtId="168" fontId="0" fillId="7" borderId="1" xfId="0" applyNumberFormat="1" applyFill="1" applyBorder="1" applyAlignment="1">
      <alignment horizontal="center" vertical="center" wrapText="1"/>
    </xf>
    <xf numFmtId="9" fontId="0" fillId="0" borderId="0" xfId="1" applyFont="1" applyAlignment="1" applyProtection="1">
      <alignment horizontal="center" wrapText="1"/>
    </xf>
    <xf numFmtId="0" fontId="0" fillId="7" borderId="1" xfId="0" applyFill="1" applyBorder="1" applyAlignment="1">
      <alignment horizontal="center" wrapText="1"/>
    </xf>
    <xf numFmtId="1" fontId="0" fillId="7" borderId="1" xfId="0" applyNumberFormat="1" applyFill="1" applyBorder="1" applyAlignment="1">
      <alignment horizontal="center" wrapText="1"/>
    </xf>
    <xf numFmtId="168" fontId="0" fillId="7" borderId="1" xfId="0" applyNumberFormat="1" applyFill="1" applyBorder="1" applyAlignment="1">
      <alignment horizontal="center" wrapText="1"/>
    </xf>
    <xf numFmtId="1" fontId="28" fillId="6" borderId="1" xfId="0" applyNumberFormat="1" applyFont="1" applyFill="1" applyBorder="1" applyAlignment="1">
      <alignment horizontal="center" wrapText="1"/>
    </xf>
    <xf numFmtId="0" fontId="29" fillId="0" borderId="0" xfId="0" applyFont="1" applyAlignment="1">
      <alignment wrapText="1"/>
    </xf>
    <xf numFmtId="0" fontId="15" fillId="0" borderId="9" xfId="0" applyFont="1" applyBorder="1" applyAlignment="1">
      <alignment horizontal="left" wrapText="1"/>
    </xf>
    <xf numFmtId="1" fontId="16" fillId="0" borderId="9" xfId="0" applyNumberFormat="1" applyFont="1" applyBorder="1" applyAlignment="1">
      <alignment horizontal="center" wrapText="1"/>
    </xf>
    <xf numFmtId="0" fontId="17" fillId="0" borderId="0" xfId="0" applyFont="1" applyAlignment="1">
      <alignment wrapText="1"/>
    </xf>
    <xf numFmtId="9" fontId="0" fillId="0" borderId="1" xfId="1" applyFont="1" applyBorder="1" applyAlignment="1" applyProtection="1">
      <alignment horizontal="center" wrapText="1"/>
    </xf>
    <xf numFmtId="1"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0" fillId="0" borderId="0" xfId="0" applyAlignment="1">
      <alignment horizontal="center" vertical="center" wrapText="1"/>
    </xf>
    <xf numFmtId="2" fontId="0" fillId="7" borderId="1" xfId="0" applyNumberFormat="1" applyFill="1" applyBorder="1" applyAlignment="1">
      <alignment horizontal="center" wrapText="1"/>
    </xf>
    <xf numFmtId="0" fontId="0" fillId="0" borderId="14" xfId="0" applyBorder="1"/>
    <xf numFmtId="0" fontId="0" fillId="0" borderId="17" xfId="0" applyBorder="1"/>
    <xf numFmtId="0" fontId="2" fillId="0" borderId="0" xfId="0" applyFont="1" applyAlignment="1">
      <alignment vertical="center" wrapText="1"/>
    </xf>
    <xf numFmtId="0" fontId="33" fillId="0" borderId="0" xfId="0" applyFont="1" applyAlignment="1">
      <alignment vertical="center"/>
    </xf>
    <xf numFmtId="0" fontId="35" fillId="0" borderId="0" xfId="0" applyFont="1"/>
    <xf numFmtId="0" fontId="7" fillId="0" borderId="0" xfId="0" applyFont="1" applyAlignment="1">
      <alignment wrapText="1"/>
    </xf>
    <xf numFmtId="0" fontId="32" fillId="0" borderId="0" xfId="0" applyFont="1" applyAlignment="1">
      <alignment wrapText="1"/>
    </xf>
    <xf numFmtId="9" fontId="7" fillId="0" borderId="0" xfId="0" applyNumberFormat="1" applyFont="1" applyAlignment="1">
      <alignment wrapText="1"/>
    </xf>
    <xf numFmtId="9" fontId="7" fillId="0" borderId="0" xfId="1" applyFont="1" applyAlignment="1" applyProtection="1">
      <alignment wrapText="1"/>
    </xf>
    <xf numFmtId="0" fontId="36" fillId="0" borderId="0" xfId="0" applyFont="1" applyAlignment="1">
      <alignment wrapText="1"/>
    </xf>
    <xf numFmtId="165" fontId="7" fillId="0" borderId="0" xfId="0" applyNumberFormat="1" applyFont="1" applyAlignment="1">
      <alignment wrapText="1"/>
    </xf>
    <xf numFmtId="0" fontId="7" fillId="0" borderId="0" xfId="0" applyFont="1"/>
    <xf numFmtId="0" fontId="37" fillId="0" borderId="0" xfId="0" applyFont="1" applyAlignment="1">
      <alignment vertical="center"/>
    </xf>
    <xf numFmtId="0" fontId="0" fillId="0" borderId="0" xfId="0" applyAlignment="1">
      <alignment horizontal="left"/>
    </xf>
    <xf numFmtId="0" fontId="0" fillId="0" borderId="0" xfId="0" applyAlignment="1">
      <alignment horizontal="left" vertical="center" wrapText="1"/>
    </xf>
    <xf numFmtId="0" fontId="21" fillId="0" borderId="0" xfId="0" applyFont="1" applyAlignment="1">
      <alignment horizontal="left" vertical="center" wrapText="1"/>
    </xf>
    <xf numFmtId="0" fontId="34" fillId="0" borderId="0" xfId="38" applyBorder="1" applyAlignment="1">
      <alignment horizontal="left" vertical="center" wrapText="1"/>
    </xf>
    <xf numFmtId="0" fontId="0" fillId="0" borderId="3"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27" fillId="6" borderId="2" xfId="0" applyFont="1" applyFill="1" applyBorder="1" applyAlignment="1">
      <alignment horizontal="left" wrapText="1"/>
    </xf>
    <xf numFmtId="0" fontId="7" fillId="0" borderId="2"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168" fontId="0" fillId="0" borderId="3" xfId="0" applyNumberFormat="1" applyBorder="1" applyAlignment="1">
      <alignment horizontal="center" wrapText="1"/>
    </xf>
    <xf numFmtId="168" fontId="0" fillId="0" borderId="9" xfId="0" applyNumberFormat="1" applyBorder="1" applyAlignment="1">
      <alignment horizontal="center" wrapText="1"/>
    </xf>
    <xf numFmtId="168" fontId="7" fillId="6" borderId="2" xfId="0" applyNumberFormat="1" applyFont="1" applyFill="1" applyBorder="1" applyAlignment="1">
      <alignment horizontal="center" wrapText="1"/>
    </xf>
    <xf numFmtId="0" fontId="38" fillId="0" borderId="0" xfId="0" applyFont="1"/>
    <xf numFmtId="0" fontId="38" fillId="0" borderId="17" xfId="0" applyFont="1" applyBorder="1"/>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applyProtection="1">
      <alignment horizontal="center"/>
      <protection locked="0"/>
    </xf>
    <xf numFmtId="0" fontId="21" fillId="0" borderId="0" xfId="0" applyFont="1" applyAlignment="1">
      <alignment horizontal="center"/>
    </xf>
    <xf numFmtId="0" fontId="21" fillId="7" borderId="1" xfId="0" applyFont="1" applyFill="1" applyBorder="1" applyAlignment="1" applyProtection="1">
      <alignment horizontal="center"/>
      <protection locked="0"/>
    </xf>
    <xf numFmtId="9" fontId="28" fillId="6" borderId="1" xfId="1" applyFont="1" applyFill="1" applyBorder="1" applyAlignment="1" applyProtection="1">
      <alignment horizontal="center" wrapText="1"/>
    </xf>
    <xf numFmtId="0" fontId="0" fillId="0" borderId="18" xfId="0" applyBorder="1"/>
    <xf numFmtId="0" fontId="0" fillId="0" borderId="21" xfId="0" applyBorder="1"/>
    <xf numFmtId="0" fontId="2" fillId="0" borderId="26" xfId="0" applyFont="1" applyBorder="1" applyAlignment="1">
      <alignment horizontal="center"/>
    </xf>
    <xf numFmtId="14" fontId="2" fillId="0" borderId="27" xfId="0" applyNumberFormat="1" applyFont="1" applyBorder="1" applyAlignment="1">
      <alignment horizontal="center"/>
    </xf>
    <xf numFmtId="0" fontId="0" fillId="0" borderId="8" xfId="0" applyBorder="1"/>
    <xf numFmtId="0" fontId="0" fillId="0" borderId="22" xfId="0" applyBorder="1"/>
    <xf numFmtId="0" fontId="44" fillId="0" borderId="22" xfId="0" applyFont="1" applyBorder="1" applyAlignment="1">
      <alignment horizontal="right"/>
    </xf>
    <xf numFmtId="0" fontId="0" fillId="0" borderId="23" xfId="0" applyBorder="1"/>
    <xf numFmtId="0" fontId="0" fillId="0" borderId="25" xfId="0" applyBorder="1"/>
    <xf numFmtId="165" fontId="0" fillId="7" borderId="1" xfId="1" applyNumberFormat="1" applyFont="1" applyFill="1" applyBorder="1" applyAlignment="1" applyProtection="1">
      <alignment horizontal="center" wrapText="1"/>
      <protection locked="0"/>
    </xf>
    <xf numFmtId="0" fontId="20" fillId="0" borderId="0" xfId="0" applyFont="1" applyAlignment="1">
      <alignment horizontal="center"/>
    </xf>
    <xf numFmtId="0" fontId="45" fillId="5" borderId="0" xfId="0" applyFont="1" applyFill="1" applyAlignment="1">
      <alignment horizontal="left"/>
    </xf>
    <xf numFmtId="0" fontId="47" fillId="0" borderId="0" xfId="0" applyFont="1" applyAlignment="1">
      <alignment vertical="center"/>
    </xf>
    <xf numFmtId="0" fontId="48" fillId="0" borderId="31" xfId="0" applyFont="1" applyBorder="1" applyAlignment="1">
      <alignment vertical="center" wrapText="1"/>
    </xf>
    <xf numFmtId="0" fontId="30" fillId="0" borderId="32" xfId="0" applyFont="1" applyBorder="1" applyAlignment="1">
      <alignment horizontal="left" vertical="center" wrapText="1"/>
    </xf>
    <xf numFmtId="0" fontId="48" fillId="0" borderId="34" xfId="0" applyFont="1" applyBorder="1" applyAlignment="1">
      <alignment vertical="center" wrapText="1"/>
    </xf>
    <xf numFmtId="17" fontId="0" fillId="0" borderId="35" xfId="0" applyNumberFormat="1" applyBorder="1" applyAlignment="1">
      <alignment horizontal="justify" vertical="center"/>
    </xf>
    <xf numFmtId="0" fontId="48" fillId="0" borderId="35" xfId="0" applyFont="1" applyBorder="1" applyAlignment="1">
      <alignment vertical="center" wrapText="1"/>
    </xf>
    <xf numFmtId="0" fontId="2" fillId="0" borderId="35" xfId="0" applyFont="1" applyBorder="1" applyAlignment="1">
      <alignment horizontal="center" vertical="center" wrapText="1"/>
    </xf>
    <xf numFmtId="0" fontId="30" fillId="0" borderId="35" xfId="0" applyFont="1" applyBorder="1" applyAlignment="1">
      <alignment horizontal="justify" vertical="center" wrapText="1"/>
    </xf>
    <xf numFmtId="0" fontId="49" fillId="0" borderId="0" xfId="0" applyFont="1"/>
    <xf numFmtId="0" fontId="3" fillId="0" borderId="1" xfId="0" applyFont="1" applyBorder="1" applyAlignment="1">
      <alignment horizontal="right" wrapText="1"/>
    </xf>
    <xf numFmtId="0" fontId="49" fillId="0" borderId="0" xfId="0" applyFont="1" applyAlignment="1">
      <alignment vertical="center"/>
    </xf>
    <xf numFmtId="9" fontId="0" fillId="7" borderId="1" xfId="1" applyFont="1" applyFill="1" applyBorder="1" applyAlignment="1" applyProtection="1">
      <alignment horizontal="left" vertical="center" wrapText="1" indent="2"/>
    </xf>
    <xf numFmtId="0" fontId="2" fillId="12" borderId="1" xfId="0" applyFont="1" applyFill="1" applyBorder="1" applyProtection="1">
      <protection locked="0"/>
    </xf>
    <xf numFmtId="1" fontId="0" fillId="12" borderId="1" xfId="0" applyNumberFormat="1" applyFill="1" applyBorder="1" applyAlignment="1" applyProtection="1">
      <alignment horizontal="center"/>
      <protection locked="0"/>
    </xf>
    <xf numFmtId="166" fontId="0" fillId="12" borderId="1" xfId="0" applyNumberFormat="1" applyFill="1" applyBorder="1" applyAlignment="1" applyProtection="1">
      <alignment horizontal="center" vertical="center"/>
      <protection locked="0"/>
    </xf>
    <xf numFmtId="0" fontId="0" fillId="12" borderId="1" xfId="0" applyFill="1" applyBorder="1" applyAlignment="1" applyProtection="1">
      <alignment horizontal="center"/>
      <protection locked="0"/>
    </xf>
    <xf numFmtId="0" fontId="22" fillId="13" borderId="1" xfId="0" applyFont="1" applyFill="1" applyBorder="1" applyAlignment="1">
      <alignment horizontal="center" vertical="center" wrapText="1"/>
    </xf>
    <xf numFmtId="0" fontId="22" fillId="13" borderId="1" xfId="0" applyFont="1" applyFill="1" applyBorder="1" applyAlignment="1">
      <alignment horizontal="center" vertical="center"/>
    </xf>
    <xf numFmtId="0" fontId="22" fillId="14" borderId="1" xfId="0" applyFont="1" applyFill="1" applyBorder="1" applyAlignment="1">
      <alignment horizontal="center" vertical="center"/>
    </xf>
    <xf numFmtId="1" fontId="2" fillId="13" borderId="1" xfId="19" applyNumberFormat="1" applyFont="1" applyFill="1" applyBorder="1" applyAlignment="1">
      <alignment horizontal="center"/>
    </xf>
    <xf numFmtId="0" fontId="39" fillId="11" borderId="2" xfId="0" applyFont="1" applyFill="1" applyBorder="1" applyAlignment="1">
      <alignment horizontal="right"/>
    </xf>
    <xf numFmtId="0" fontId="39" fillId="11" borderId="3" xfId="0" applyFont="1" applyFill="1" applyBorder="1" applyAlignment="1">
      <alignment horizontal="right"/>
    </xf>
    <xf numFmtId="167" fontId="30" fillId="11" borderId="12" xfId="0" applyNumberFormat="1" applyFont="1" applyFill="1" applyBorder="1" applyAlignment="1">
      <alignment horizontal="center"/>
    </xf>
    <xf numFmtId="1" fontId="39" fillId="11" borderId="10" xfId="0" applyNumberFormat="1" applyFont="1" applyFill="1" applyBorder="1" applyAlignment="1">
      <alignment horizontal="center"/>
    </xf>
    <xf numFmtId="0" fontId="21" fillId="12" borderId="1" xfId="0" applyFont="1" applyFill="1" applyBorder="1" applyAlignment="1" applyProtection="1">
      <alignment horizontal="center"/>
      <protection locked="0"/>
    </xf>
    <xf numFmtId="167" fontId="30" fillId="11" borderId="1" xfId="0" applyNumberFormat="1" applyFont="1" applyFill="1" applyBorder="1" applyAlignment="1">
      <alignment horizontal="center" vertical="center"/>
    </xf>
    <xf numFmtId="167" fontId="30" fillId="11" borderId="10" xfId="0" applyNumberFormat="1" applyFont="1" applyFill="1" applyBorder="1" applyAlignment="1">
      <alignment horizontal="center"/>
    </xf>
    <xf numFmtId="0" fontId="22" fillId="13" borderId="13" xfId="0" applyFont="1" applyFill="1" applyBorder="1" applyAlignment="1">
      <alignment horizontal="left" vertical="center"/>
    </xf>
    <xf numFmtId="0" fontId="2" fillId="13" borderId="12" xfId="0" applyFont="1" applyFill="1" applyBorder="1"/>
    <xf numFmtId="0" fontId="2" fillId="13" borderId="16" xfId="0" applyFont="1" applyFill="1" applyBorder="1"/>
    <xf numFmtId="0" fontId="22" fillId="13" borderId="13" xfId="0" applyFont="1" applyFill="1" applyBorder="1" applyAlignment="1">
      <alignment horizontal="left" vertical="center" wrapText="1"/>
    </xf>
    <xf numFmtId="0" fontId="0" fillId="13" borderId="12" xfId="0" applyFill="1" applyBorder="1"/>
    <xf numFmtId="0" fontId="22" fillId="13" borderId="2" xfId="0" applyFont="1" applyFill="1" applyBorder="1" applyAlignment="1">
      <alignment horizontal="lef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14" xfId="0" applyBorder="1" applyAlignment="1">
      <alignment vertical="center" wrapText="1"/>
    </xf>
    <xf numFmtId="0" fontId="0" fillId="0" borderId="17" xfId="0" applyBorder="1" applyAlignment="1">
      <alignment horizontal="right"/>
    </xf>
    <xf numFmtId="0" fontId="0" fillId="0" borderId="17" xfId="0" applyBorder="1" applyAlignment="1">
      <alignment horizontal="center"/>
    </xf>
    <xf numFmtId="0" fontId="0" fillId="0" borderId="17" xfId="0" applyBorder="1" applyAlignment="1">
      <alignment horizontal="righ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13" borderId="16" xfId="0" applyFill="1" applyBorder="1"/>
    <xf numFmtId="0" fontId="0" fillId="0" borderId="15" xfId="0" applyBorder="1" applyAlignment="1">
      <alignment horizontal="right"/>
    </xf>
    <xf numFmtId="0" fontId="0" fillId="0" borderId="11" xfId="0" applyBorder="1" applyAlignment="1">
      <alignment horizontal="center"/>
    </xf>
    <xf numFmtId="0" fontId="0" fillId="0" borderId="45" xfId="0" applyBorder="1"/>
    <xf numFmtId="0" fontId="25" fillId="13" borderId="46" xfId="0" applyFont="1" applyFill="1" applyBorder="1" applyAlignment="1">
      <alignment horizontal="center"/>
    </xf>
    <xf numFmtId="0" fontId="0" fillId="0" borderId="0" xfId="0" applyAlignment="1">
      <alignment horizontal="right"/>
    </xf>
    <xf numFmtId="0" fontId="0" fillId="0" borderId="47" xfId="0" applyBorder="1" applyAlignment="1">
      <alignment horizontal="center"/>
    </xf>
    <xf numFmtId="0" fontId="0" fillId="0" borderId="19" xfId="0" applyBorder="1" applyAlignment="1">
      <alignment horizontal="right"/>
    </xf>
    <xf numFmtId="0" fontId="0" fillId="0" borderId="16" xfId="0" applyBorder="1"/>
    <xf numFmtId="0" fontId="0" fillId="0" borderId="19" xfId="0" applyBorder="1" applyAlignment="1">
      <alignment horizontal="right" vertical="center"/>
    </xf>
    <xf numFmtId="0" fontId="0" fillId="0" borderId="46" xfId="0" applyBorder="1"/>
    <xf numFmtId="0" fontId="0" fillId="0" borderId="47" xfId="0" applyBorder="1"/>
    <xf numFmtId="0" fontId="0" fillId="0" borderId="11" xfId="0" applyBorder="1" applyAlignment="1">
      <alignment horizontal="center" vertical="center"/>
    </xf>
    <xf numFmtId="0" fontId="0" fillId="0" borderId="0" xfId="0" applyAlignment="1">
      <alignment horizontal="right" vertical="center"/>
    </xf>
    <xf numFmtId="0" fontId="40" fillId="0" borderId="0" xfId="0" applyFont="1" applyAlignment="1">
      <alignment horizontal="center"/>
    </xf>
    <xf numFmtId="0" fontId="2" fillId="13" borderId="2" xfId="0" applyFont="1" applyFill="1" applyBorder="1"/>
    <xf numFmtId="0" fontId="8" fillId="5" borderId="28" xfId="0" applyFont="1" applyFill="1" applyBorder="1" applyAlignment="1">
      <alignment horizontal="left" vertical="center"/>
    </xf>
    <xf numFmtId="0" fontId="8" fillId="5" borderId="29"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0" fillId="12" borderId="1" xfId="0" applyFill="1" applyBorder="1" applyAlignment="1" applyProtection="1">
      <alignment horizontal="center" vertical="center"/>
      <protection locked="0"/>
    </xf>
    <xf numFmtId="0" fontId="21" fillId="12" borderId="1" xfId="0" applyFont="1" applyFill="1" applyBorder="1" applyAlignment="1" applyProtection="1">
      <alignment horizontal="center" vertical="center"/>
      <protection locked="0"/>
    </xf>
    <xf numFmtId="167" fontId="30" fillId="11" borderId="11" xfId="0" applyNumberFormat="1" applyFont="1" applyFill="1" applyBorder="1" applyAlignment="1">
      <alignment horizontal="center" vertical="center"/>
    </xf>
    <xf numFmtId="0" fontId="22" fillId="13" borderId="2"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35" fillId="15" borderId="2" xfId="0" applyFont="1" applyFill="1" applyBorder="1" applyAlignment="1">
      <alignment vertical="center"/>
    </xf>
    <xf numFmtId="0" fontId="22" fillId="15" borderId="9" xfId="0" applyFont="1" applyFill="1" applyBorder="1"/>
    <xf numFmtId="0" fontId="22" fillId="15" borderId="3" xfId="0" applyFont="1" applyFill="1" applyBorder="1"/>
    <xf numFmtId="0" fontId="0" fillId="0" borderId="13" xfId="0" applyBorder="1"/>
    <xf numFmtId="0" fontId="2" fillId="12" borderId="1" xfId="0" applyFont="1" applyFill="1" applyBorder="1" applyAlignment="1" applyProtection="1">
      <alignment horizontal="center"/>
      <protection locked="0"/>
    </xf>
    <xf numFmtId="0" fontId="39" fillId="11" borderId="19" xfId="0" applyFont="1" applyFill="1" applyBorder="1" applyAlignment="1">
      <alignment horizontal="right"/>
    </xf>
    <xf numFmtId="0" fontId="0" fillId="13" borderId="1" xfId="0" applyFill="1" applyBorder="1" applyAlignment="1">
      <alignment horizontal="center"/>
    </xf>
    <xf numFmtId="0" fontId="22" fillId="13" borderId="11" xfId="0" applyFont="1" applyFill="1" applyBorder="1" applyAlignment="1">
      <alignment horizontal="center" vertical="center" wrapText="1"/>
    </xf>
    <xf numFmtId="0" fontId="22" fillId="13" borderId="1" xfId="0" applyFont="1" applyFill="1" applyBorder="1" applyAlignment="1">
      <alignment horizontal="center"/>
    </xf>
    <xf numFmtId="0" fontId="0" fillId="0" borderId="11" xfId="0" applyBorder="1" applyAlignment="1">
      <alignment horizontal="center" vertical="center" wrapText="1"/>
    </xf>
    <xf numFmtId="0" fontId="0" fillId="0" borderId="46" xfId="0" applyBorder="1" applyAlignment="1">
      <alignment vertical="center" wrapText="1"/>
    </xf>
    <xf numFmtId="0" fontId="7" fillId="12" borderId="1" xfId="0" applyFont="1" applyFill="1" applyBorder="1" applyAlignment="1" applyProtection="1">
      <alignment horizontal="center"/>
      <protection locked="0"/>
    </xf>
    <xf numFmtId="0" fontId="22" fillId="13" borderId="1" xfId="0" applyFont="1" applyFill="1" applyBorder="1" applyAlignment="1">
      <alignment vertical="center" wrapText="1"/>
    </xf>
    <xf numFmtId="0" fontId="39" fillId="11" borderId="1" xfId="0" applyFont="1" applyFill="1" applyBorder="1" applyAlignment="1">
      <alignment horizontal="center"/>
    </xf>
    <xf numFmtId="165" fontId="7" fillId="12" borderId="1" xfId="0" applyNumberFormat="1" applyFont="1" applyFill="1" applyBorder="1" applyAlignment="1" applyProtection="1">
      <alignment horizontal="center"/>
      <protection locked="0"/>
    </xf>
    <xf numFmtId="10" fontId="0" fillId="12" borderId="1" xfId="0" applyNumberForma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wrapText="1"/>
      <protection locked="0"/>
    </xf>
    <xf numFmtId="9" fontId="0" fillId="12" borderId="1" xfId="1" applyFont="1" applyFill="1" applyBorder="1" applyAlignment="1" applyProtection="1">
      <alignment horizontal="center" wrapText="1"/>
      <protection locked="0"/>
    </xf>
    <xf numFmtId="165" fontId="0" fillId="12" borderId="1" xfId="1" applyNumberFormat="1" applyFont="1" applyFill="1" applyBorder="1" applyAlignment="1" applyProtection="1">
      <alignment horizontal="center" wrapText="1"/>
      <protection locked="0"/>
    </xf>
    <xf numFmtId="0" fontId="0" fillId="12" borderId="1" xfId="0" applyFill="1" applyBorder="1" applyAlignment="1" applyProtection="1">
      <alignment horizontal="center" wrapText="1"/>
      <protection locked="0"/>
    </xf>
    <xf numFmtId="168" fontId="0" fillId="12" borderId="1" xfId="0" applyNumberFormat="1" applyFill="1" applyBorder="1" applyAlignment="1" applyProtection="1">
      <alignment horizontal="center" wrapText="1"/>
      <protection locked="0"/>
    </xf>
    <xf numFmtId="168" fontId="0" fillId="12" borderId="1" xfId="0" applyNumberFormat="1" applyFill="1" applyBorder="1" applyAlignment="1" applyProtection="1">
      <alignment wrapText="1"/>
      <protection locked="0"/>
    </xf>
    <xf numFmtId="10" fontId="0" fillId="12" borderId="1" xfId="0" applyNumberFormat="1" applyFill="1" applyBorder="1" applyAlignment="1" applyProtection="1">
      <alignment wrapText="1"/>
      <protection locked="0"/>
    </xf>
    <xf numFmtId="0" fontId="0" fillId="12" borderId="1" xfId="0" applyFill="1" applyBorder="1" applyAlignment="1" applyProtection="1">
      <alignment wrapText="1"/>
      <protection locked="0"/>
    </xf>
    <xf numFmtId="0" fontId="0" fillId="12" borderId="1" xfId="0" applyFill="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0" fillId="12" borderId="1" xfId="19" applyNumberFormat="1" applyFont="1" applyFill="1" applyBorder="1" applyAlignment="1" applyProtection="1">
      <alignment horizontal="center" vertical="center" wrapText="1"/>
      <protection locked="0"/>
    </xf>
    <xf numFmtId="9" fontId="0" fillId="7" borderId="1" xfId="1" applyFont="1" applyFill="1" applyBorder="1" applyAlignment="1" applyProtection="1">
      <alignment horizontal="center" wrapText="1"/>
      <protection locked="0"/>
    </xf>
    <xf numFmtId="0" fontId="25" fillId="7" borderId="1" xfId="0" applyFont="1" applyFill="1" applyBorder="1" applyAlignment="1">
      <alignment vertical="center"/>
    </xf>
    <xf numFmtId="0" fontId="0" fillId="11" borderId="0" xfId="0" applyFill="1" applyAlignment="1">
      <alignment wrapText="1"/>
    </xf>
    <xf numFmtId="0" fontId="0" fillId="11" borderId="0" xfId="0" applyFill="1" applyAlignment="1">
      <alignment vertical="center" wrapText="1"/>
    </xf>
    <xf numFmtId="0" fontId="25" fillId="11" borderId="0" xfId="0" applyFont="1" applyFill="1" applyAlignment="1">
      <alignment horizontal="center" vertical="center"/>
    </xf>
    <xf numFmtId="0" fontId="0" fillId="11" borderId="0" xfId="0" applyFill="1"/>
    <xf numFmtId="0" fontId="3" fillId="11" borderId="0" xfId="0" applyFont="1" applyFill="1" applyAlignment="1">
      <alignment horizontal="left" vertical="center"/>
    </xf>
    <xf numFmtId="0" fontId="3" fillId="11" borderId="0" xfId="0" applyFont="1" applyFill="1" applyAlignment="1">
      <alignment vertical="center"/>
    </xf>
    <xf numFmtId="0" fontId="7" fillId="0" borderId="0" xfId="0" applyFont="1" applyAlignment="1">
      <alignment vertical="center" wrapText="1"/>
    </xf>
    <xf numFmtId="0" fontId="25" fillId="9" borderId="22" xfId="0" applyFont="1" applyFill="1" applyBorder="1"/>
    <xf numFmtId="0" fontId="22" fillId="0" borderId="0" xfId="0" applyFont="1"/>
    <xf numFmtId="0" fontId="21" fillId="0" borderId="0" xfId="0" applyFont="1"/>
    <xf numFmtId="1" fontId="0" fillId="0" borderId="0" xfId="0" applyNumberFormat="1" applyAlignment="1">
      <alignment horizontal="center"/>
    </xf>
    <xf numFmtId="0" fontId="39" fillId="0" borderId="0" xfId="0" applyFont="1" applyAlignment="1">
      <alignment horizontal="center"/>
    </xf>
    <xf numFmtId="0" fontId="45" fillId="5" borderId="0" xfId="0" applyFont="1" applyFill="1" applyAlignment="1">
      <alignment horizontal="left" indent="2"/>
    </xf>
    <xf numFmtId="0" fontId="46" fillId="5" borderId="0" xfId="0" applyFont="1" applyFill="1" applyAlignment="1">
      <alignment vertical="center" wrapText="1"/>
    </xf>
    <xf numFmtId="0" fontId="7" fillId="7" borderId="1" xfId="0" applyFont="1" applyFill="1" applyBorder="1" applyAlignment="1" applyProtection="1">
      <alignment horizontal="center"/>
      <protection locked="0"/>
    </xf>
    <xf numFmtId="165" fontId="7" fillId="7" borderId="1" xfId="0" applyNumberFormat="1" applyFont="1" applyFill="1" applyBorder="1" applyAlignment="1" applyProtection="1">
      <alignment horizontal="center"/>
      <protection locked="0"/>
    </xf>
    <xf numFmtId="0" fontId="7" fillId="7" borderId="1" xfId="0" applyFont="1" applyFill="1" applyBorder="1" applyAlignment="1">
      <alignment horizontal="center"/>
    </xf>
    <xf numFmtId="1" fontId="21" fillId="7" borderId="1" xfId="0" applyNumberFormat="1" applyFont="1" applyFill="1" applyBorder="1" applyAlignment="1">
      <alignment horizontal="center" vertical="center" wrapText="1"/>
    </xf>
    <xf numFmtId="1" fontId="2" fillId="7" borderId="1" xfId="0" applyNumberFormat="1" applyFont="1" applyFill="1" applyBorder="1" applyAlignment="1">
      <alignment horizontal="center"/>
    </xf>
    <xf numFmtId="0" fontId="7" fillId="0" borderId="14" xfId="0" applyFont="1" applyBorder="1"/>
    <xf numFmtId="1" fontId="2" fillId="7" borderId="50" xfId="0" applyNumberFormat="1" applyFont="1" applyFill="1" applyBorder="1" applyAlignment="1">
      <alignment horizontal="center" vertical="center" wrapText="1"/>
    </xf>
    <xf numFmtId="1" fontId="2" fillId="7" borderId="51" xfId="0" applyNumberFormat="1" applyFont="1" applyFill="1" applyBorder="1" applyAlignment="1">
      <alignment horizontal="center" wrapText="1"/>
    </xf>
    <xf numFmtId="10" fontId="2" fillId="7" borderId="51" xfId="0" applyNumberFormat="1" applyFont="1" applyFill="1" applyBorder="1" applyAlignment="1">
      <alignment horizontal="center" wrapText="1"/>
    </xf>
    <xf numFmtId="10" fontId="2" fillId="7" borderId="51" xfId="1" applyNumberFormat="1" applyFont="1" applyFill="1" applyBorder="1" applyAlignment="1" applyProtection="1">
      <alignment horizontal="center" vertical="center" wrapText="1"/>
    </xf>
    <xf numFmtId="0" fontId="2" fillId="7" borderId="54" xfId="19" applyNumberFormat="1" applyFont="1" applyFill="1" applyBorder="1" applyAlignment="1" applyProtection="1">
      <alignment horizontal="center" vertical="center" wrapText="1"/>
    </xf>
    <xf numFmtId="165" fontId="0" fillId="12" borderId="1" xfId="0" applyNumberFormat="1" applyFill="1" applyBorder="1" applyAlignment="1" applyProtection="1">
      <alignment horizontal="center" vertical="center" wrapText="1"/>
      <protection locked="0"/>
    </xf>
    <xf numFmtId="0" fontId="30" fillId="0" borderId="33" xfId="0" applyFont="1" applyBorder="1" applyAlignment="1">
      <alignment vertical="center" wrapText="1"/>
    </xf>
    <xf numFmtId="0" fontId="30" fillId="0" borderId="32" xfId="0" applyFont="1" applyBorder="1" applyAlignment="1">
      <alignment vertical="center" wrapText="1"/>
    </xf>
    <xf numFmtId="0" fontId="50" fillId="0" borderId="33" xfId="0" applyFont="1" applyBorder="1" applyAlignment="1">
      <alignment vertical="center" wrapText="1"/>
    </xf>
    <xf numFmtId="0" fontId="50" fillId="0" borderId="32" xfId="0" applyFont="1" applyBorder="1" applyAlignment="1">
      <alignment vertical="center" wrapText="1"/>
    </xf>
    <xf numFmtId="0" fontId="48" fillId="0" borderId="36" xfId="0" applyFont="1" applyBorder="1" applyAlignment="1">
      <alignment vertical="center" wrapText="1"/>
    </xf>
    <xf numFmtId="0" fontId="48" fillId="0" borderId="40" xfId="0" applyFont="1" applyBorder="1" applyAlignment="1">
      <alignment vertical="center" wrapText="1"/>
    </xf>
    <xf numFmtId="0" fontId="48" fillId="0" borderId="34" xfId="0" applyFont="1" applyBorder="1" applyAlignment="1">
      <alignment vertical="center" wrapText="1"/>
    </xf>
    <xf numFmtId="0" fontId="34" fillId="0" borderId="37" xfId="38" applyBorder="1" applyAlignment="1">
      <alignment horizontal="justify" vertical="center" wrapText="1"/>
    </xf>
    <xf numFmtId="0" fontId="34" fillId="0" borderId="38" xfId="38" applyBorder="1" applyAlignment="1">
      <alignment horizontal="justify" vertical="center" wrapText="1"/>
    </xf>
    <xf numFmtId="0" fontId="34" fillId="0" borderId="39" xfId="38" applyBorder="1" applyAlignment="1">
      <alignment horizontal="justify" vertical="center" wrapText="1"/>
    </xf>
    <xf numFmtId="0" fontId="34" fillId="0" borderId="41" xfId="38" applyBorder="1" applyAlignment="1">
      <alignment horizontal="justify" vertical="center" wrapText="1"/>
    </xf>
    <xf numFmtId="0" fontId="34" fillId="0" borderId="0" xfId="38" applyAlignment="1">
      <alignment horizontal="justify" vertical="center" wrapText="1"/>
    </xf>
    <xf numFmtId="0" fontId="34" fillId="0" borderId="42" xfId="38" applyBorder="1" applyAlignment="1">
      <alignment horizontal="justify" vertical="center" wrapText="1"/>
    </xf>
    <xf numFmtId="0" fontId="0" fillId="0" borderId="43" xfId="0" applyBorder="1" applyAlignment="1">
      <alignment horizontal="justify" vertical="center" wrapText="1"/>
    </xf>
    <xf numFmtId="0" fontId="0" fillId="0" borderId="44" xfId="0" applyBorder="1" applyAlignment="1">
      <alignment horizontal="justify" vertical="center" wrapText="1"/>
    </xf>
    <xf numFmtId="0" fontId="0" fillId="0" borderId="35" xfId="0" applyBorder="1" applyAlignment="1">
      <alignment horizontal="justify"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43" fillId="10" borderId="20" xfId="0" applyFont="1" applyFill="1" applyBorder="1" applyAlignment="1">
      <alignment horizontal="center" vertical="center" wrapText="1"/>
    </xf>
    <xf numFmtId="0" fontId="43" fillId="10" borderId="18"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43" fillId="10" borderId="23" xfId="0" applyFont="1" applyFill="1" applyBorder="1" applyAlignment="1">
      <alignment horizontal="center" vertical="center" wrapText="1"/>
    </xf>
    <xf numFmtId="0" fontId="43" fillId="10" borderId="24" xfId="0" applyFont="1" applyFill="1" applyBorder="1" applyAlignment="1">
      <alignment horizontal="center" vertical="center" wrapText="1"/>
    </xf>
    <xf numFmtId="0" fontId="43" fillId="10" borderId="25" xfId="0" applyFont="1" applyFill="1" applyBorder="1" applyAlignment="1">
      <alignment horizontal="center" vertical="center" wrapText="1"/>
    </xf>
    <xf numFmtId="0" fontId="25" fillId="9" borderId="0" xfId="0" applyFont="1" applyFill="1" applyAlignment="1">
      <alignment horizontal="left" wrapText="1"/>
    </xf>
    <xf numFmtId="0" fontId="25" fillId="9" borderId="8" xfId="0" applyFont="1" applyFill="1"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wrapText="1"/>
    </xf>
    <xf numFmtId="0" fontId="20" fillId="16" borderId="22" xfId="0" applyFont="1" applyFill="1" applyBorder="1" applyAlignment="1">
      <alignment horizontal="left"/>
    </xf>
    <xf numFmtId="0" fontId="20" fillId="16" borderId="0" xfId="0" applyFont="1" applyFill="1" applyAlignment="1">
      <alignment horizontal="left"/>
    </xf>
    <xf numFmtId="0" fontId="53" fillId="18" borderId="26" xfId="0" applyFont="1" applyFill="1" applyBorder="1" applyAlignment="1">
      <alignment horizontal="center" vertical="center" textRotation="90" wrapText="1"/>
    </xf>
    <xf numFmtId="0" fontId="53" fillId="18" borderId="58" xfId="0" applyFont="1" applyFill="1" applyBorder="1" applyAlignment="1">
      <alignment horizontal="center" vertical="center" textRotation="90" wrapText="1"/>
    </xf>
    <xf numFmtId="0" fontId="53" fillId="18" borderId="27" xfId="0" applyFont="1" applyFill="1" applyBorder="1" applyAlignment="1">
      <alignment horizontal="center" vertical="center" textRotation="90" wrapText="1"/>
    </xf>
    <xf numFmtId="0" fontId="46" fillId="5" borderId="0" xfId="0" applyFont="1" applyFill="1" applyAlignment="1">
      <alignment horizontal="left" vertical="center" wrapText="1" indent="2"/>
    </xf>
    <xf numFmtId="0" fontId="43" fillId="17" borderId="28" xfId="0" applyFont="1" applyFill="1" applyBorder="1" applyAlignment="1">
      <alignment horizontal="center" vertical="center"/>
    </xf>
    <xf numFmtId="0" fontId="43" fillId="17" borderId="29" xfId="0" applyFont="1" applyFill="1" applyBorder="1" applyAlignment="1">
      <alignment horizontal="center" vertical="center"/>
    </xf>
    <xf numFmtId="0" fontId="43" fillId="17" borderId="30" xfId="0" applyFont="1" applyFill="1" applyBorder="1" applyAlignment="1">
      <alignment horizontal="center" vertical="center"/>
    </xf>
    <xf numFmtId="0" fontId="40" fillId="5" borderId="28" xfId="0" applyFont="1" applyFill="1" applyBorder="1" applyAlignment="1">
      <alignment horizontal="center"/>
    </xf>
    <xf numFmtId="0" fontId="40" fillId="5" borderId="29" xfId="0" applyFont="1" applyFill="1" applyBorder="1" applyAlignment="1">
      <alignment horizontal="center"/>
    </xf>
    <xf numFmtId="0" fontId="40" fillId="5" borderId="30" xfId="0" applyFont="1" applyFill="1" applyBorder="1" applyAlignment="1">
      <alignment horizontal="center"/>
    </xf>
    <xf numFmtId="0" fontId="40" fillId="8" borderId="28" xfId="0" applyFont="1" applyFill="1" applyBorder="1" applyAlignment="1">
      <alignment horizontal="center"/>
    </xf>
    <xf numFmtId="0" fontId="40" fillId="8" borderId="29" xfId="0" applyFont="1" applyFill="1" applyBorder="1" applyAlignment="1">
      <alignment horizontal="center"/>
    </xf>
    <xf numFmtId="0" fontId="40" fillId="8" borderId="30" xfId="0" applyFont="1" applyFill="1" applyBorder="1" applyAlignment="1">
      <alignment horizontal="center"/>
    </xf>
    <xf numFmtId="0" fontId="41" fillId="15" borderId="2" xfId="0" applyFont="1" applyFill="1" applyBorder="1" applyAlignment="1">
      <alignment horizontal="left" vertical="center"/>
    </xf>
    <xf numFmtId="0" fontId="41" fillId="15" borderId="9" xfId="0" applyFont="1" applyFill="1" applyBorder="1" applyAlignment="1">
      <alignment horizontal="left" vertical="center"/>
    </xf>
    <xf numFmtId="0" fontId="41" fillId="15" borderId="3" xfId="0" applyFont="1" applyFill="1" applyBorder="1" applyAlignment="1">
      <alignment horizontal="left" vertical="center"/>
    </xf>
    <xf numFmtId="0" fontId="22" fillId="13" borderId="2" xfId="0" applyFont="1" applyFill="1" applyBorder="1" applyAlignment="1">
      <alignment horizontal="left" vertical="center"/>
    </xf>
    <xf numFmtId="0" fontId="22" fillId="13" borderId="9" xfId="0" applyFont="1" applyFill="1" applyBorder="1" applyAlignment="1">
      <alignment horizontal="left" vertical="center"/>
    </xf>
    <xf numFmtId="0" fontId="22" fillId="13" borderId="3" xfId="0" applyFont="1" applyFill="1" applyBorder="1" applyAlignment="1">
      <alignment horizontal="left" vertical="center"/>
    </xf>
    <xf numFmtId="0" fontId="0" fillId="0" borderId="45" xfId="0" applyBorder="1" applyAlignment="1">
      <alignment horizontal="left"/>
    </xf>
    <xf numFmtId="0" fontId="0" fillId="0" borderId="14" xfId="0" applyBorder="1" applyAlignment="1">
      <alignment horizontal="left"/>
    </xf>
    <xf numFmtId="0" fontId="0" fillId="0" borderId="19" xfId="0" applyBorder="1" applyAlignment="1">
      <alignment horizontal="left"/>
    </xf>
    <xf numFmtId="0" fontId="0" fillId="0" borderId="15" xfId="0" applyBorder="1" applyAlignment="1">
      <alignment horizontal="left"/>
    </xf>
    <xf numFmtId="0" fontId="22" fillId="13" borderId="13" xfId="0" applyFont="1" applyFill="1" applyBorder="1" applyAlignment="1">
      <alignment horizontal="left" vertical="center" wrapText="1"/>
    </xf>
    <xf numFmtId="0" fontId="22" fillId="13" borderId="12" xfId="0" applyFont="1" applyFill="1" applyBorder="1" applyAlignment="1">
      <alignment horizontal="left" vertical="center" wrapText="1"/>
    </xf>
    <xf numFmtId="0" fontId="41" fillId="15" borderId="13" xfId="0" applyFont="1" applyFill="1" applyBorder="1" applyAlignment="1">
      <alignment horizontal="left" vertical="center"/>
    </xf>
    <xf numFmtId="0" fontId="41" fillId="15" borderId="45" xfId="0" applyFont="1" applyFill="1" applyBorder="1" applyAlignment="1">
      <alignment horizontal="left" vertical="center"/>
    </xf>
    <xf numFmtId="0" fontId="41" fillId="15" borderId="12" xfId="0" applyFont="1" applyFill="1" applyBorder="1" applyAlignment="1">
      <alignment horizontal="left" vertical="center"/>
    </xf>
    <xf numFmtId="0" fontId="41" fillId="15" borderId="19" xfId="0" applyFont="1" applyFill="1" applyBorder="1" applyAlignment="1">
      <alignment horizontal="left" vertical="center"/>
    </xf>
    <xf numFmtId="0" fontId="51" fillId="15" borderId="14" xfId="0" applyFont="1" applyFill="1" applyBorder="1" applyAlignment="1">
      <alignment horizontal="center" vertical="center" wrapText="1"/>
    </xf>
    <xf numFmtId="0" fontId="51" fillId="15" borderId="15" xfId="0" applyFont="1" applyFill="1" applyBorder="1" applyAlignment="1">
      <alignment horizontal="center" vertical="center" wrapText="1"/>
    </xf>
    <xf numFmtId="0" fontId="22" fillId="13" borderId="13" xfId="0" applyFont="1" applyFill="1" applyBorder="1" applyAlignment="1">
      <alignment horizontal="left" vertical="top" wrapText="1"/>
    </xf>
    <xf numFmtId="0" fontId="22" fillId="13" borderId="16" xfId="0" applyFont="1" applyFill="1" applyBorder="1" applyAlignment="1">
      <alignment horizontal="left" vertical="top" wrapText="1"/>
    </xf>
    <xf numFmtId="0" fontId="0" fillId="0" borderId="45"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left" vertical="center" wrapText="1"/>
    </xf>
    <xf numFmtId="0" fontId="39" fillId="11" borderId="2" xfId="0" applyFont="1" applyFill="1" applyBorder="1" applyAlignment="1">
      <alignment horizontal="right"/>
    </xf>
    <xf numFmtId="0" fontId="39" fillId="11" borderId="9" xfId="0" applyFont="1" applyFill="1" applyBorder="1" applyAlignment="1">
      <alignment horizontal="right"/>
    </xf>
    <xf numFmtId="0" fontId="39" fillId="11" borderId="3" xfId="0" applyFont="1" applyFill="1" applyBorder="1" applyAlignment="1">
      <alignment horizontal="right"/>
    </xf>
    <xf numFmtId="0" fontId="30" fillId="5" borderId="28" xfId="0" applyFont="1" applyFill="1" applyBorder="1" applyAlignment="1">
      <alignment horizontal="left" vertical="center"/>
    </xf>
    <xf numFmtId="0" fontId="30" fillId="5" borderId="29" xfId="0" applyFont="1" applyFill="1" applyBorder="1" applyAlignment="1">
      <alignment horizontal="left" vertical="center"/>
    </xf>
    <xf numFmtId="0" fontId="30" fillId="5" borderId="30" xfId="0" applyFont="1" applyFill="1" applyBorder="1" applyAlignment="1">
      <alignment horizontal="left"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55" xfId="0" applyFont="1" applyBorder="1" applyAlignment="1">
      <alignment horizontal="center" wrapText="1"/>
    </xf>
    <xf numFmtId="0" fontId="2" fillId="0" borderId="56" xfId="0" applyFont="1" applyBorder="1" applyAlignment="1">
      <alignment horizontal="center" wrapText="1"/>
    </xf>
    <xf numFmtId="0" fontId="2" fillId="0" borderId="57" xfId="0" applyFont="1" applyBorder="1" applyAlignment="1">
      <alignment horizont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43" fillId="11" borderId="0" xfId="0" applyFont="1" applyFill="1" applyAlignment="1" applyProtection="1">
      <alignment horizontal="center" wrapText="1"/>
      <protection locked="0"/>
    </xf>
    <xf numFmtId="0" fontId="2" fillId="0" borderId="2" xfId="0" applyFont="1" applyBorder="1" applyAlignment="1">
      <alignment horizontal="left" wrapText="1"/>
    </xf>
    <xf numFmtId="0" fontId="2" fillId="0" borderId="3" xfId="0" applyFont="1" applyBorder="1" applyAlignment="1">
      <alignment horizontal="left" wrapText="1"/>
    </xf>
    <xf numFmtId="0" fontId="5" fillId="2" borderId="0" xfId="0" applyFont="1" applyFill="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1"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7" fillId="0" borderId="1" xfId="0" applyFont="1" applyBorder="1" applyAlignment="1">
      <alignment horizontal="left" wrapText="1"/>
    </xf>
    <xf numFmtId="0" fontId="7" fillId="0" borderId="2" xfId="0" applyFont="1" applyBorder="1" applyAlignment="1">
      <alignment horizontal="left" wrapText="1"/>
    </xf>
    <xf numFmtId="0" fontId="0" fillId="0" borderId="3" xfId="0" applyBorder="1" applyAlignment="1">
      <alignment horizontal="left" wrapText="1"/>
    </xf>
    <xf numFmtId="0" fontId="27" fillId="6" borderId="1" xfId="0" applyFont="1" applyFill="1" applyBorder="1" applyAlignment="1">
      <alignment horizontal="left" wrapText="1"/>
    </xf>
    <xf numFmtId="0" fontId="27" fillId="6" borderId="2" xfId="0" applyFont="1" applyFill="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2" fillId="7" borderId="1" xfId="0" applyFont="1" applyFill="1" applyBorder="1" applyAlignment="1" applyProtection="1">
      <alignment horizontal="center"/>
      <protection locked="0"/>
    </xf>
    <xf numFmtId="0" fontId="2" fillId="7" borderId="1" xfId="0" applyFont="1" applyFill="1" applyBorder="1" applyAlignment="1">
      <alignment horizontal="center"/>
    </xf>
  </cellXfs>
  <cellStyles count="40">
    <cellStyle name="Active" xfId="3" xr:uid="{00000000-0005-0000-0000-000000000000}"/>
    <cellStyle name="Euro" xfId="4" xr:uid="{00000000-0005-0000-0000-000001000000}"/>
    <cellStyle name="Lien hypertexte" xfId="38" builtinId="8"/>
    <cellStyle name="Milliers" xfId="19" builtinId="3"/>
    <cellStyle name="Milliers 2" xfId="5" xr:uid="{00000000-0005-0000-0000-000004000000}"/>
    <cellStyle name="Milliers 2 2" xfId="14" xr:uid="{00000000-0005-0000-0000-000005000000}"/>
    <cellStyle name="Milliers 2 2 2" xfId="31" xr:uid="{00000000-0005-0000-0000-000006000000}"/>
    <cellStyle name="Milliers 2 3" xfId="9" xr:uid="{00000000-0005-0000-0000-000007000000}"/>
    <cellStyle name="Milliers 2 3 2" xfId="26" xr:uid="{00000000-0005-0000-0000-000008000000}"/>
    <cellStyle name="Milliers 2 4" xfId="24" xr:uid="{00000000-0005-0000-0000-000009000000}"/>
    <cellStyle name="Normal" xfId="0" builtinId="0"/>
    <cellStyle name="Normal 2" xfId="6" xr:uid="{00000000-0005-0000-0000-00000B000000}"/>
    <cellStyle name="Normal 3" xfId="7" xr:uid="{00000000-0005-0000-0000-00000C000000}"/>
    <cellStyle name="Normal 4" xfId="2" xr:uid="{00000000-0005-0000-0000-00000D000000}"/>
    <cellStyle name="Normal 4 2" xfId="15" xr:uid="{00000000-0005-0000-0000-00000E000000}"/>
    <cellStyle name="Normal 4 2 2" xfId="32" xr:uid="{00000000-0005-0000-0000-00000F000000}"/>
    <cellStyle name="Normal 4 2 2 2 2 2" xfId="39" xr:uid="{00000000-0005-0000-0000-000010000000}"/>
    <cellStyle name="Normal 4 3" xfId="10" xr:uid="{00000000-0005-0000-0000-000011000000}"/>
    <cellStyle name="Normal 4 3 2" xfId="27" xr:uid="{00000000-0005-0000-0000-000012000000}"/>
    <cellStyle name="Normal 4 4" xfId="23" xr:uid="{00000000-0005-0000-0000-000013000000}"/>
    <cellStyle name="Normal 5" xfId="12" xr:uid="{00000000-0005-0000-0000-000014000000}"/>
    <cellStyle name="Normal 5 2" xfId="17" xr:uid="{00000000-0005-0000-0000-000015000000}"/>
    <cellStyle name="Normal 5 2 2" xfId="34" xr:uid="{00000000-0005-0000-0000-000016000000}"/>
    <cellStyle name="Normal 5 3" xfId="29" xr:uid="{00000000-0005-0000-0000-000017000000}"/>
    <cellStyle name="Normal 6" xfId="20" xr:uid="{00000000-0005-0000-0000-000018000000}"/>
    <cellStyle name="Normal 7" xfId="21" xr:uid="{00000000-0005-0000-0000-000019000000}"/>
    <cellStyle name="Normal 8" xfId="37" xr:uid="{00000000-0005-0000-0000-00001A000000}"/>
    <cellStyle name="Pourcentage" xfId="1" builtinId="5"/>
    <cellStyle name="Pourcentage 2" xfId="8" xr:uid="{00000000-0005-0000-0000-00001C000000}"/>
    <cellStyle name="Pourcentage 2 2" xfId="16" xr:uid="{00000000-0005-0000-0000-00001D000000}"/>
    <cellStyle name="Pourcentage 2 2 2" xfId="33" xr:uid="{00000000-0005-0000-0000-00001E000000}"/>
    <cellStyle name="Pourcentage 2 3" xfId="11" xr:uid="{00000000-0005-0000-0000-00001F000000}"/>
    <cellStyle name="Pourcentage 2 3 2" xfId="28" xr:uid="{00000000-0005-0000-0000-000020000000}"/>
    <cellStyle name="Pourcentage 2 4" xfId="25" xr:uid="{00000000-0005-0000-0000-000021000000}"/>
    <cellStyle name="Pourcentage 3" xfId="13" xr:uid="{00000000-0005-0000-0000-000022000000}"/>
    <cellStyle name="Pourcentage 3 2" xfId="18" xr:uid="{00000000-0005-0000-0000-000023000000}"/>
    <cellStyle name="Pourcentage 3 2 2" xfId="35" xr:uid="{00000000-0005-0000-0000-000024000000}"/>
    <cellStyle name="Pourcentage 3 3" xfId="30" xr:uid="{00000000-0005-0000-0000-000025000000}"/>
    <cellStyle name="Pourcentage 4" xfId="22" xr:uid="{00000000-0005-0000-0000-000026000000}"/>
    <cellStyle name="Pourcentage 5" xfId="36" xr:uid="{00000000-0005-0000-0000-000027000000}"/>
  </cellStyles>
  <dxfs count="18">
    <dxf>
      <font>
        <condense val="0"/>
        <extend val="0"/>
        <color rgb="FF9C0006"/>
      </font>
      <fill>
        <patternFill>
          <bgColor rgb="FFFFC7CE"/>
        </patternFill>
      </fill>
    </dxf>
    <dxf>
      <font>
        <b/>
        <i val="0"/>
        <color theme="6" tint="-0.499984740745262"/>
      </font>
      <fill>
        <patternFill>
          <bgColor theme="6" tint="0.39994506668294322"/>
        </patternFill>
      </fill>
    </dxf>
    <dxf>
      <font>
        <color rgb="FF9C0006"/>
      </font>
      <fill>
        <patternFill>
          <bgColor theme="9" tint="0.59996337778862885"/>
        </patternFill>
      </fill>
    </dxf>
    <dxf>
      <font>
        <b/>
        <i val="0"/>
        <color theme="6" tint="-0.499984740745262"/>
      </font>
      <fill>
        <patternFill>
          <bgColor theme="6" tint="0.39994506668294322"/>
        </patternFill>
      </fill>
    </dxf>
    <dxf>
      <font>
        <b/>
        <i val="0"/>
        <color theme="9" tint="-0.499984740745262"/>
      </font>
      <fill>
        <patternFill>
          <bgColor theme="9" tint="0.39994506668294322"/>
        </patternFill>
      </fill>
    </dxf>
    <dxf>
      <font>
        <condense val="0"/>
        <extend val="0"/>
        <color rgb="FF9C0006"/>
      </font>
      <fill>
        <patternFill>
          <bgColor rgb="FFFFC7CE"/>
        </patternFill>
      </fill>
    </dxf>
    <dxf>
      <font>
        <b/>
        <i val="0"/>
        <color theme="6" tint="-0.499984740745262"/>
      </font>
      <fill>
        <patternFill>
          <bgColor theme="6" tint="0.39994506668294322"/>
        </patternFill>
      </fill>
    </dxf>
    <dxf>
      <font>
        <color rgb="FF9C0006"/>
      </font>
      <fill>
        <patternFill>
          <bgColor theme="9" tint="0.59996337778862885"/>
        </patternFill>
      </fill>
    </dxf>
    <dxf>
      <font>
        <b/>
        <i val="0"/>
        <color theme="6" tint="-0.499984740745262"/>
      </font>
      <fill>
        <patternFill>
          <bgColor theme="6" tint="0.39994506668294322"/>
        </patternFill>
      </fill>
    </dxf>
    <dxf>
      <font>
        <b/>
        <i val="0"/>
        <color theme="9" tint="-0.499984740745262"/>
      </font>
      <fill>
        <patternFill>
          <bgColor theme="9" tint="0.39994506668294322"/>
        </patternFill>
      </fill>
    </dxf>
    <dxf>
      <font>
        <color rgb="FF006100"/>
      </font>
      <fill>
        <patternFill>
          <bgColor theme="6" tint="0.59996337778862885"/>
        </patternFill>
      </fill>
    </dxf>
    <dxf>
      <font>
        <color rgb="FF9C0006"/>
      </font>
      <fill>
        <patternFill>
          <bgColor theme="9" tint="0.59996337778862885"/>
        </patternFill>
      </fill>
    </dxf>
    <dxf>
      <font>
        <color rgb="FF006100"/>
      </font>
      <fill>
        <patternFill>
          <bgColor rgb="FFC6EFCE"/>
        </patternFill>
      </fill>
    </dxf>
    <dxf>
      <font>
        <color rgb="FF006100"/>
      </font>
      <fill>
        <patternFill>
          <bgColor theme="6" tint="0.59996337778862885"/>
        </patternFill>
      </fill>
    </dxf>
    <dxf>
      <font>
        <color rgb="FF9C0006"/>
      </font>
      <fill>
        <patternFill>
          <bgColor theme="9" tint="0.59996337778862885"/>
        </patternFill>
      </fill>
    </dxf>
    <dxf>
      <font>
        <color rgb="FF006100"/>
      </font>
      <fill>
        <patternFill>
          <bgColor rgb="FFC6EFCE"/>
        </patternFill>
      </fill>
    </dxf>
    <dxf>
      <font>
        <color rgb="FF006100"/>
      </font>
      <fill>
        <patternFill>
          <bgColor theme="9" tint="0.59996337778862885"/>
        </patternFill>
      </fill>
    </dxf>
    <dxf>
      <font>
        <color rgb="FF9C0006"/>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BBB59"/>
            </a:solidFill>
          </c:spPr>
          <c:invertIfNegative val="1"/>
          <c:cat>
            <c:numRef>
              <c:f>SIG!$D$21:$W$21</c:f>
              <c:numCache>
                <c:formatCode>General</c:formatCode>
                <c:ptCount val="20"/>
                <c:pt idx="0">
                  <c:v>1</c:v>
                </c:pt>
                <c:pt idx="1">
                  <c:v>2</c:v>
                </c:pt>
                <c:pt idx="2" formatCode="0">
                  <c:v>3</c:v>
                </c:pt>
                <c:pt idx="3" formatCode="0">
                  <c:v>4</c:v>
                </c:pt>
                <c:pt idx="4" formatCode="0">
                  <c:v>5</c:v>
                </c:pt>
                <c:pt idx="5" formatCode="0">
                  <c:v>6</c:v>
                </c:pt>
                <c:pt idx="6" formatCode="0">
                  <c:v>7</c:v>
                </c:pt>
                <c:pt idx="7" formatCode="0">
                  <c:v>8</c:v>
                </c:pt>
                <c:pt idx="8" formatCode="0">
                  <c:v>9</c:v>
                </c:pt>
                <c:pt idx="9" formatCode="0">
                  <c:v>10</c:v>
                </c:pt>
                <c:pt idx="10" formatCode="0">
                  <c:v>11</c:v>
                </c:pt>
                <c:pt idx="11" formatCode="0">
                  <c:v>12</c:v>
                </c:pt>
                <c:pt idx="12" formatCode="0">
                  <c:v>13</c:v>
                </c:pt>
                <c:pt idx="13" formatCode="0">
                  <c:v>14</c:v>
                </c:pt>
                <c:pt idx="14" formatCode="0">
                  <c:v>15</c:v>
                </c:pt>
                <c:pt idx="15" formatCode="0">
                  <c:v>16</c:v>
                </c:pt>
                <c:pt idx="16" formatCode="0">
                  <c:v>17</c:v>
                </c:pt>
                <c:pt idx="17">
                  <c:v>18</c:v>
                </c:pt>
                <c:pt idx="18">
                  <c:v>19</c:v>
                </c:pt>
                <c:pt idx="19">
                  <c:v>20</c:v>
                </c:pt>
              </c:numCache>
            </c:numRef>
          </c:cat>
          <c:val>
            <c:numRef>
              <c:f>SIG!$D$41:$W$41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4="http://schemas.microsoft.com/office/drawing/2007/8/2/chart" uri="{6F2FDCE9-48DA-4B69-8628-5D25D57E5C99}">
              <c14:invertSolidFillFmt>
                <c14:spPr xmlns:c14="http://schemas.microsoft.com/office/drawing/2007/8/2/chart">
                  <a:solidFill>
                    <a:srgbClr val="F79646"/>
                  </a:solidFill>
                </c14:spPr>
              </c14:invertSolidFillFmt>
            </c:ext>
            <c:ext xmlns:c16="http://schemas.microsoft.com/office/drawing/2014/chart" uri="{C3380CC4-5D6E-409C-BE32-E72D297353CC}">
              <c16:uniqueId val="{00000000-077F-40DC-AF77-771461613E4B}"/>
            </c:ext>
          </c:extLst>
        </c:ser>
        <c:dLbls>
          <c:showLegendKey val="0"/>
          <c:showVal val="0"/>
          <c:showCatName val="0"/>
          <c:showSerName val="0"/>
          <c:showPercent val="0"/>
          <c:showBubbleSize val="0"/>
        </c:dLbls>
        <c:gapWidth val="150"/>
        <c:axId val="191022208"/>
        <c:axId val="191023744"/>
      </c:barChart>
      <c:catAx>
        <c:axId val="191022208"/>
        <c:scaling>
          <c:orientation val="minMax"/>
        </c:scaling>
        <c:delete val="0"/>
        <c:axPos val="b"/>
        <c:numFmt formatCode="General" sourceLinked="1"/>
        <c:majorTickMark val="out"/>
        <c:minorTickMark val="none"/>
        <c:tickLblPos val="nextTo"/>
        <c:txPr>
          <a:bodyPr/>
          <a:lstStyle/>
          <a:p>
            <a:pPr>
              <a:defRPr b="1"/>
            </a:pPr>
            <a:endParaRPr lang="fr-FR"/>
          </a:p>
        </c:txPr>
        <c:crossAx val="191023744"/>
        <c:crosses val="autoZero"/>
        <c:auto val="1"/>
        <c:lblAlgn val="ctr"/>
        <c:lblOffset val="100"/>
        <c:noMultiLvlLbl val="0"/>
      </c:catAx>
      <c:valAx>
        <c:axId val="191023744"/>
        <c:scaling>
          <c:orientation val="minMax"/>
        </c:scaling>
        <c:delete val="0"/>
        <c:axPos val="l"/>
        <c:majorGridlines/>
        <c:title>
          <c:tx>
            <c:rich>
              <a:bodyPr rot="0" vert="horz"/>
              <a:lstStyle/>
              <a:p>
                <a:pPr>
                  <a:defRPr sz="1200"/>
                </a:pPr>
                <a:r>
                  <a:rPr lang="en-US" sz="1200"/>
                  <a:t>VAN (€)</a:t>
                </a:r>
              </a:p>
            </c:rich>
          </c:tx>
          <c:layout>
            <c:manualLayout>
              <c:xMode val="edge"/>
              <c:yMode val="edge"/>
              <c:x val="1.6666666666666666E-2"/>
              <c:y val="4.3506853310002924E-2"/>
            </c:manualLayout>
          </c:layout>
          <c:overlay val="0"/>
        </c:title>
        <c:numFmt formatCode="0" sourceLinked="1"/>
        <c:majorTickMark val="out"/>
        <c:minorTickMark val="none"/>
        <c:tickLblPos val="nextTo"/>
        <c:txPr>
          <a:bodyPr/>
          <a:lstStyle/>
          <a:p>
            <a:pPr>
              <a:defRPr sz="1100"/>
            </a:pPr>
            <a:endParaRPr lang="fr-FR"/>
          </a:p>
        </c:txPr>
        <c:crossAx val="191022208"/>
        <c:crosses val="autoZero"/>
        <c:crossBetween val="between"/>
      </c:valAx>
    </c:plotArea>
    <c:plotVisOnly val="1"/>
    <c:dispBlanksAs val="gap"/>
    <c:showDLblsOverMax val="0"/>
  </c:chart>
  <c:spPr>
    <a:solidFill>
      <a:schemeClr val="accent6">
        <a:lumMod val="20000"/>
        <a:lumOff val="80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BBB59"/>
            </a:solidFill>
          </c:spPr>
          <c:invertIfNegative val="1"/>
          <c:cat>
            <c:numRef>
              <c:f>SIG!$D$21:$AG$21</c:f>
              <c:numCache>
                <c:formatCode>General</c:formatCode>
                <c:ptCount val="30"/>
                <c:pt idx="0">
                  <c:v>1</c:v>
                </c:pt>
                <c:pt idx="1">
                  <c:v>2</c:v>
                </c:pt>
                <c:pt idx="2" formatCode="0">
                  <c:v>3</c:v>
                </c:pt>
                <c:pt idx="3" formatCode="0">
                  <c:v>4</c:v>
                </c:pt>
                <c:pt idx="4" formatCode="0">
                  <c:v>5</c:v>
                </c:pt>
                <c:pt idx="5" formatCode="0">
                  <c:v>6</c:v>
                </c:pt>
                <c:pt idx="6" formatCode="0">
                  <c:v>7</c:v>
                </c:pt>
                <c:pt idx="7" formatCode="0">
                  <c:v>8</c:v>
                </c:pt>
                <c:pt idx="8" formatCode="0">
                  <c:v>9</c:v>
                </c:pt>
                <c:pt idx="9" formatCode="0">
                  <c:v>10</c:v>
                </c:pt>
                <c:pt idx="10" formatCode="0">
                  <c:v>11</c:v>
                </c:pt>
                <c:pt idx="11" formatCode="0">
                  <c:v>12</c:v>
                </c:pt>
                <c:pt idx="12" formatCode="0">
                  <c:v>13</c:v>
                </c:pt>
                <c:pt idx="13" formatCode="0">
                  <c:v>14</c:v>
                </c:pt>
                <c:pt idx="14" formatCode="0">
                  <c:v>15</c:v>
                </c:pt>
                <c:pt idx="15" formatCode="0">
                  <c:v>16</c:v>
                </c:pt>
                <c:pt idx="16" formatCode="0">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SIG!$D$41:$AG$41</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4="http://schemas.microsoft.com/office/drawing/2007/8/2/chart" uri="{6F2FDCE9-48DA-4B69-8628-5D25D57E5C99}">
              <c14:invertSolidFillFmt>
                <c14:spPr xmlns:c14="http://schemas.microsoft.com/office/drawing/2007/8/2/chart">
                  <a:solidFill>
                    <a:srgbClr val="F79646"/>
                  </a:solidFill>
                </c14:spPr>
              </c14:invertSolidFillFmt>
            </c:ext>
            <c:ext xmlns:c16="http://schemas.microsoft.com/office/drawing/2014/chart" uri="{C3380CC4-5D6E-409C-BE32-E72D297353CC}">
              <c16:uniqueId val="{00000000-D364-4DCD-A9EC-85EDDFBD8591}"/>
            </c:ext>
          </c:extLst>
        </c:ser>
        <c:dLbls>
          <c:showLegendKey val="0"/>
          <c:showVal val="0"/>
          <c:showCatName val="0"/>
          <c:showSerName val="0"/>
          <c:showPercent val="0"/>
          <c:showBubbleSize val="0"/>
        </c:dLbls>
        <c:gapWidth val="150"/>
        <c:axId val="191022208"/>
        <c:axId val="191023744"/>
      </c:barChart>
      <c:catAx>
        <c:axId val="191022208"/>
        <c:scaling>
          <c:orientation val="minMax"/>
        </c:scaling>
        <c:delete val="0"/>
        <c:axPos val="b"/>
        <c:numFmt formatCode="General" sourceLinked="1"/>
        <c:majorTickMark val="out"/>
        <c:minorTickMark val="none"/>
        <c:tickLblPos val="nextTo"/>
        <c:txPr>
          <a:bodyPr/>
          <a:lstStyle/>
          <a:p>
            <a:pPr>
              <a:defRPr sz="1050"/>
            </a:pPr>
            <a:endParaRPr lang="fr-FR"/>
          </a:p>
        </c:txPr>
        <c:crossAx val="191023744"/>
        <c:crosses val="autoZero"/>
        <c:auto val="1"/>
        <c:lblAlgn val="ctr"/>
        <c:lblOffset val="100"/>
        <c:noMultiLvlLbl val="0"/>
      </c:catAx>
      <c:valAx>
        <c:axId val="191023744"/>
        <c:scaling>
          <c:orientation val="minMax"/>
        </c:scaling>
        <c:delete val="0"/>
        <c:axPos val="l"/>
        <c:majorGridlines/>
        <c:title>
          <c:tx>
            <c:rich>
              <a:bodyPr rot="0" vert="horz"/>
              <a:lstStyle/>
              <a:p>
                <a:pPr>
                  <a:defRPr sz="1200"/>
                </a:pPr>
                <a:r>
                  <a:rPr lang="en-US" sz="1200"/>
                  <a:t>VAN (€)</a:t>
                </a:r>
              </a:p>
            </c:rich>
          </c:tx>
          <c:layout>
            <c:manualLayout>
              <c:xMode val="edge"/>
              <c:yMode val="edge"/>
              <c:x val="1.6666666666666666E-2"/>
              <c:y val="4.3506853310002924E-2"/>
            </c:manualLayout>
          </c:layout>
          <c:overlay val="0"/>
        </c:title>
        <c:numFmt formatCode="0" sourceLinked="1"/>
        <c:majorTickMark val="out"/>
        <c:minorTickMark val="none"/>
        <c:tickLblPos val="nextTo"/>
        <c:txPr>
          <a:bodyPr/>
          <a:lstStyle/>
          <a:p>
            <a:pPr>
              <a:defRPr sz="1100" b="1"/>
            </a:pPr>
            <a:endParaRPr lang="fr-FR"/>
          </a:p>
        </c:txPr>
        <c:crossAx val="191022208"/>
        <c:crosses val="autoZero"/>
        <c:crossBetween val="between"/>
      </c:valAx>
    </c:plotArea>
    <c:plotVisOnly val="1"/>
    <c:dispBlanksAs val="gap"/>
    <c:showDLblsOverMax val="0"/>
  </c:chart>
  <c:spPr>
    <a:solidFill>
      <a:schemeClr val="accent6">
        <a:lumMod val="20000"/>
        <a:lumOff val="80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g"/><Relationship Id="rId1" Type="http://schemas.openxmlformats.org/officeDocument/2006/relationships/image" Target="../media/image4.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99060</xdr:colOff>
      <xdr:row>1</xdr:row>
      <xdr:rowOff>110490</xdr:rowOff>
    </xdr:from>
    <xdr:to>
      <xdr:col>4</xdr:col>
      <xdr:colOff>628651</xdr:colOff>
      <xdr:row>1</xdr:row>
      <xdr:rowOff>675120</xdr:rowOff>
    </xdr:to>
    <xdr:pic>
      <xdr:nvPicPr>
        <xdr:cNvPr id="2" name="Image 1121687931">
          <a:extLst>
            <a:ext uri="{FF2B5EF4-FFF2-40B4-BE49-F238E27FC236}">
              <a16:creationId xmlns:a16="http://schemas.microsoft.com/office/drawing/2014/main" id="{001A3C35-4077-4902-84D2-72C279FB9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2160" y="320040"/>
          <a:ext cx="1434466" cy="56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3</xdr:row>
      <xdr:rowOff>57150</xdr:rowOff>
    </xdr:from>
    <xdr:to>
      <xdr:col>4</xdr:col>
      <xdr:colOff>440055</xdr:colOff>
      <xdr:row>3</xdr:row>
      <xdr:rowOff>377190</xdr:rowOff>
    </xdr:to>
    <xdr:pic>
      <xdr:nvPicPr>
        <xdr:cNvPr id="3" name="Image 1" descr="CC-by-sa">
          <a:extLst>
            <a:ext uri="{FF2B5EF4-FFF2-40B4-BE49-F238E27FC236}">
              <a16:creationId xmlns:a16="http://schemas.microsoft.com/office/drawing/2014/main" id="{C19AD1B8-4E08-467B-9941-BF838CD596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3175" y="1457325"/>
          <a:ext cx="744855"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198969</xdr:colOff>
      <xdr:row>0</xdr:row>
      <xdr:rowOff>0</xdr:rowOff>
    </xdr:from>
    <xdr:to>
      <xdr:col>12</xdr:col>
      <xdr:colOff>397604</xdr:colOff>
      <xdr:row>2</xdr:row>
      <xdr:rowOff>170413</xdr:rowOff>
    </xdr:to>
    <xdr:pic>
      <xdr:nvPicPr>
        <xdr:cNvPr id="6" name="Image 5">
          <a:extLst>
            <a:ext uri="{FF2B5EF4-FFF2-40B4-BE49-F238E27FC236}">
              <a16:creationId xmlns:a16="http://schemas.microsoft.com/office/drawing/2014/main" id="{9FC7BFD9-5793-4871-8B23-81C42F23DF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6544" y="0"/>
          <a:ext cx="1734065" cy="7381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119062</xdr:colOff>
      <xdr:row>10</xdr:row>
      <xdr:rowOff>55722</xdr:rowOff>
    </xdr:from>
    <xdr:to>
      <xdr:col>0</xdr:col>
      <xdr:colOff>325278</xdr:colOff>
      <xdr:row>10</xdr:row>
      <xdr:rowOff>365284</xdr:rowOff>
    </xdr:to>
    <xdr:sp macro="" textlink="">
      <xdr:nvSpPr>
        <xdr:cNvPr id="2" name="Flèche vers le bas 1">
          <a:extLst>
            <a:ext uri="{FF2B5EF4-FFF2-40B4-BE49-F238E27FC236}">
              <a16:creationId xmlns:a16="http://schemas.microsoft.com/office/drawing/2014/main" id="{00000000-0008-0000-0100-000002000000}"/>
            </a:ext>
          </a:extLst>
        </xdr:cNvPr>
        <xdr:cNvSpPr/>
      </xdr:nvSpPr>
      <xdr:spPr>
        <a:xfrm>
          <a:off x="119062" y="2091691"/>
          <a:ext cx="206216" cy="309562"/>
        </a:xfrm>
        <a:prstGeom prst="downArrow">
          <a:avLst/>
        </a:prstGeom>
        <a:solidFill>
          <a:schemeClr val="accent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619125</xdr:colOff>
      <xdr:row>10</xdr:row>
      <xdr:rowOff>345281</xdr:rowOff>
    </xdr:from>
    <xdr:to>
      <xdr:col>12</xdr:col>
      <xdr:colOff>35719</xdr:colOff>
      <xdr:row>10</xdr:row>
      <xdr:rowOff>666750</xdr:rowOff>
    </xdr:to>
    <xdr:sp macro="" textlink="">
      <xdr:nvSpPr>
        <xdr:cNvPr id="3" name="Flèche : droite 2">
          <a:extLst>
            <a:ext uri="{FF2B5EF4-FFF2-40B4-BE49-F238E27FC236}">
              <a16:creationId xmlns:a16="http://schemas.microsoft.com/office/drawing/2014/main" id="{003E5B7A-86DE-9C60-E379-A16AEFB7E2C8}"/>
            </a:ext>
          </a:extLst>
        </xdr:cNvPr>
        <xdr:cNvSpPr/>
      </xdr:nvSpPr>
      <xdr:spPr>
        <a:xfrm>
          <a:off x="8655844" y="2393156"/>
          <a:ext cx="440531" cy="321469"/>
        </a:xfrm>
        <a:prstGeom prst="rightArrow">
          <a:avLst/>
        </a:prstGeom>
        <a:solidFill>
          <a:schemeClr val="accent6"/>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680561</xdr:colOff>
      <xdr:row>28</xdr:row>
      <xdr:rowOff>95249</xdr:rowOff>
    </xdr:from>
    <xdr:to>
      <xdr:col>12</xdr:col>
      <xdr:colOff>91440</xdr:colOff>
      <xdr:row>30</xdr:row>
      <xdr:rowOff>11906</xdr:rowOff>
    </xdr:to>
    <xdr:sp macro="" textlink="">
      <xdr:nvSpPr>
        <xdr:cNvPr id="4" name="Flèche : droite 3">
          <a:extLst>
            <a:ext uri="{FF2B5EF4-FFF2-40B4-BE49-F238E27FC236}">
              <a16:creationId xmlns:a16="http://schemas.microsoft.com/office/drawing/2014/main" id="{EEED6FBC-A325-4896-9EDD-6DDD69C68833}"/>
            </a:ext>
          </a:extLst>
        </xdr:cNvPr>
        <xdr:cNvSpPr/>
      </xdr:nvSpPr>
      <xdr:spPr>
        <a:xfrm>
          <a:off x="8717280" y="6369843"/>
          <a:ext cx="434816" cy="321469"/>
        </a:xfrm>
        <a:prstGeom prst="rightArrow">
          <a:avLst/>
        </a:prstGeom>
        <a:solidFill>
          <a:schemeClr val="accent6"/>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67545</xdr:colOff>
      <xdr:row>0</xdr:row>
      <xdr:rowOff>0</xdr:rowOff>
    </xdr:from>
    <xdr:to>
      <xdr:col>20</xdr:col>
      <xdr:colOff>167657</xdr:colOff>
      <xdr:row>3</xdr:row>
      <xdr:rowOff>60147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1604" y="0"/>
          <a:ext cx="1919274" cy="773513"/>
        </a:xfrm>
        <a:prstGeom prst="rect">
          <a:avLst/>
        </a:prstGeom>
        <a:solidFill>
          <a:schemeClr val="bg1"/>
        </a:solidFill>
      </xdr:spPr>
    </xdr:pic>
    <xdr:clientData/>
  </xdr:twoCellAnchor>
  <xdr:twoCellAnchor editAs="oneCell">
    <xdr:from>
      <xdr:col>20</xdr:col>
      <xdr:colOff>119064</xdr:colOff>
      <xdr:row>0</xdr:row>
      <xdr:rowOff>0</xdr:rowOff>
    </xdr:from>
    <xdr:to>
      <xdr:col>23</xdr:col>
      <xdr:colOff>54825</xdr:colOff>
      <xdr:row>3</xdr:row>
      <xdr:rowOff>15517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38476" y="0"/>
          <a:ext cx="1844571" cy="736503"/>
        </a:xfrm>
        <a:prstGeom prst="rect">
          <a:avLst/>
        </a:prstGeom>
      </xdr:spPr>
    </xdr:pic>
    <xdr:clientData/>
  </xdr:twoCellAnchor>
  <xdr:twoCellAnchor>
    <xdr:from>
      <xdr:col>5</xdr:col>
      <xdr:colOff>713366</xdr:colOff>
      <xdr:row>51</xdr:row>
      <xdr:rowOff>207420</xdr:rowOff>
    </xdr:from>
    <xdr:to>
      <xdr:col>16</xdr:col>
      <xdr:colOff>190500</xdr:colOff>
      <xdr:row>66</xdr:row>
      <xdr:rowOff>179294</xdr:rowOff>
    </xdr:to>
    <xdr:graphicFrame macro="">
      <xdr:nvGraphicFramePr>
        <xdr:cNvPr id="4" name="Graphique 3">
          <a:extLst>
            <a:ext uri="{FF2B5EF4-FFF2-40B4-BE49-F238E27FC236}">
              <a16:creationId xmlns:a16="http://schemas.microsoft.com/office/drawing/2014/main" id="{98B498DE-3032-43F6-8253-EE907A38D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761176</xdr:colOff>
      <xdr:row>52</xdr:row>
      <xdr:rowOff>11206</xdr:rowOff>
    </xdr:from>
    <xdr:to>
      <xdr:col>33</xdr:col>
      <xdr:colOff>59615</xdr:colOff>
      <xdr:row>66</xdr:row>
      <xdr:rowOff>190499</xdr:rowOff>
    </xdr:to>
    <xdr:graphicFrame macro="">
      <xdr:nvGraphicFramePr>
        <xdr:cNvPr id="6" name="Graphique 5">
          <a:extLst>
            <a:ext uri="{FF2B5EF4-FFF2-40B4-BE49-F238E27FC236}">
              <a16:creationId xmlns:a16="http://schemas.microsoft.com/office/drawing/2014/main" id="{57AFB7EF-0175-4D82-BA97-F93B7E47F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sa/4.0/deed.fr" TargetMode="External"/><Relationship Id="rId1" Type="http://schemas.openxmlformats.org/officeDocument/2006/relationships/hyperlink" Target="http://www.centralesvillageoises.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6B5F-4CBB-4E32-B2F2-2C0B5E740EC2}">
  <dimension ref="B1:E12"/>
  <sheetViews>
    <sheetView workbookViewId="0">
      <selection activeCell="C13" sqref="C13"/>
    </sheetView>
  </sheetViews>
  <sheetFormatPr baseColWidth="10" defaultRowHeight="14.4"/>
  <cols>
    <col min="1" max="1" width="5" customWidth="1"/>
    <col min="2" max="2" width="18.5546875" customWidth="1"/>
    <col min="3" max="3" width="60.33203125" customWidth="1"/>
    <col min="4" max="4" width="13.21875" customWidth="1"/>
    <col min="5" max="5" width="19.44140625" customWidth="1"/>
  </cols>
  <sheetData>
    <row r="1" spans="2:5" ht="16.2" thickBot="1">
      <c r="B1" s="94"/>
    </row>
    <row r="2" spans="2:5" ht="64.2" customHeight="1" thickBot="1">
      <c r="B2" s="95" t="s">
        <v>188</v>
      </c>
      <c r="C2" s="96" t="s">
        <v>189</v>
      </c>
      <c r="D2" s="218"/>
      <c r="E2" s="219"/>
    </row>
    <row r="3" spans="2:5" ht="29.4" customHeight="1" thickBot="1">
      <c r="B3" s="97" t="s">
        <v>190</v>
      </c>
      <c r="C3" s="98" t="s">
        <v>252</v>
      </c>
      <c r="D3" s="99" t="s">
        <v>191</v>
      </c>
      <c r="E3" s="100" t="s">
        <v>207</v>
      </c>
    </row>
    <row r="4" spans="2:5" ht="34.799999999999997" customHeight="1" thickBot="1">
      <c r="B4" s="97" t="s">
        <v>192</v>
      </c>
      <c r="C4" s="101" t="s">
        <v>197</v>
      </c>
      <c r="D4" s="220"/>
      <c r="E4" s="221"/>
    </row>
    <row r="5" spans="2:5" ht="18" customHeight="1">
      <c r="B5" s="222" t="s">
        <v>193</v>
      </c>
      <c r="C5" s="225" t="s">
        <v>194</v>
      </c>
      <c r="D5" s="226"/>
      <c r="E5" s="227"/>
    </row>
    <row r="6" spans="2:5" ht="19.8" customHeight="1">
      <c r="B6" s="223"/>
      <c r="C6" s="228" t="s">
        <v>195</v>
      </c>
      <c r="D6" s="229"/>
      <c r="E6" s="230"/>
    </row>
    <row r="7" spans="2:5" ht="31.8" customHeight="1" thickBot="1">
      <c r="B7" s="224"/>
      <c r="C7" s="231" t="s">
        <v>196</v>
      </c>
      <c r="D7" s="232"/>
      <c r="E7" s="233"/>
    </row>
    <row r="12" spans="2:5">
      <c r="B12" s="102"/>
    </row>
  </sheetData>
  <sheetProtection algorithmName="SHA-512" hashValue="oRe55E1pRgxkV/Ylqeh5vhG0tTv/17oknsvQGVSne46mwCHBv25Q5P/1L6pEn1M1fPr9jxyUqr+4WLrn3uWvsQ==" saltValue="b0GwCWA5s1ny50VcAginjg==" spinCount="100000" sheet="1" objects="1" scenarios="1"/>
  <mergeCells count="6">
    <mergeCell ref="D2:E2"/>
    <mergeCell ref="D4:E4"/>
    <mergeCell ref="B5:B7"/>
    <mergeCell ref="C5:E5"/>
    <mergeCell ref="C6:E6"/>
    <mergeCell ref="C7:E7"/>
  </mergeCells>
  <hyperlinks>
    <hyperlink ref="C5" r:id="rId1" display="http://www.centralesvillageoises.fr/" xr:uid="{31F05301-67FE-41E6-9CB0-EBA471CF3B13}"/>
    <hyperlink ref="C6" r:id="rId2" display="https://creativecommons.org/licenses/by-sa/4.0/deed.fr" xr:uid="{23736444-12C8-4C04-8F67-E9A02BE285A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4715-C0AA-48EA-9B96-FE3468E7334C}">
  <sheetPr>
    <tabColor theme="0"/>
  </sheetPr>
  <dimension ref="A1:M24"/>
  <sheetViews>
    <sheetView showGridLines="0" workbookViewId="0">
      <selection activeCell="I27" sqref="I27"/>
    </sheetView>
  </sheetViews>
  <sheetFormatPr baseColWidth="10" defaultRowHeight="14.4"/>
  <cols>
    <col min="1" max="1" width="6.109375" customWidth="1"/>
    <col min="4" max="4" width="8.44140625" customWidth="1"/>
    <col min="5" max="5" width="14.109375" customWidth="1"/>
    <col min="6" max="6" width="18.33203125" customWidth="1"/>
    <col min="7" max="7" width="15.88671875" customWidth="1"/>
    <col min="8" max="8" width="6.5546875" customWidth="1"/>
    <col min="9" max="9" width="19.6640625" customWidth="1"/>
    <col min="13" max="13" width="7.44140625" customWidth="1"/>
  </cols>
  <sheetData>
    <row r="1" spans="1:13">
      <c r="A1" s="236" t="s">
        <v>178</v>
      </c>
      <c r="B1" s="237"/>
      <c r="C1" s="237"/>
      <c r="D1" s="237"/>
      <c r="E1" s="237"/>
      <c r="F1" s="237"/>
      <c r="G1" s="237"/>
      <c r="H1" s="237"/>
      <c r="I1" s="238"/>
      <c r="J1" s="84" t="s">
        <v>175</v>
      </c>
      <c r="K1" s="82"/>
      <c r="L1" s="82"/>
      <c r="M1" s="83"/>
    </row>
    <row r="2" spans="1:13" ht="30" customHeight="1" thickBot="1">
      <c r="A2" s="239"/>
      <c r="B2" s="240"/>
      <c r="C2" s="240"/>
      <c r="D2" s="240"/>
      <c r="E2" s="240"/>
      <c r="F2" s="240"/>
      <c r="G2" s="240"/>
      <c r="H2" s="240"/>
      <c r="I2" s="241"/>
      <c r="J2" s="85">
        <v>45707</v>
      </c>
      <c r="M2" s="86"/>
    </row>
    <row r="3" spans="1:13">
      <c r="A3" s="87"/>
      <c r="M3" s="86"/>
    </row>
    <row r="4" spans="1:13" ht="14.4" customHeight="1">
      <c r="A4" s="199"/>
      <c r="B4" s="242" t="s">
        <v>253</v>
      </c>
      <c r="C4" s="242"/>
      <c r="D4" s="242"/>
      <c r="E4" s="242"/>
      <c r="F4" s="242"/>
      <c r="G4" s="242"/>
      <c r="H4" s="242"/>
      <c r="I4" s="242"/>
      <c r="J4" s="242"/>
      <c r="K4" s="242"/>
      <c r="L4" s="242"/>
      <c r="M4" s="243"/>
    </row>
    <row r="5" spans="1:13">
      <c r="A5" s="199"/>
      <c r="B5" s="242"/>
      <c r="C5" s="242"/>
      <c r="D5" s="242"/>
      <c r="E5" s="242"/>
      <c r="F5" s="242"/>
      <c r="G5" s="242"/>
      <c r="H5" s="242"/>
      <c r="I5" s="242"/>
      <c r="J5" s="242"/>
      <c r="K5" s="242"/>
      <c r="L5" s="242"/>
      <c r="M5" s="243"/>
    </row>
    <row r="6" spans="1:13">
      <c r="A6" s="199"/>
      <c r="B6" s="242"/>
      <c r="C6" s="242"/>
      <c r="D6" s="242"/>
      <c r="E6" s="242"/>
      <c r="F6" s="242"/>
      <c r="G6" s="242"/>
      <c r="H6" s="242"/>
      <c r="I6" s="242"/>
      <c r="J6" s="242"/>
      <c r="K6" s="242"/>
      <c r="L6" s="242"/>
      <c r="M6" s="243"/>
    </row>
    <row r="7" spans="1:13">
      <c r="A7" s="199"/>
      <c r="B7" s="242"/>
      <c r="C7" s="242"/>
      <c r="D7" s="242"/>
      <c r="E7" s="242"/>
      <c r="F7" s="242"/>
      <c r="G7" s="242"/>
      <c r="H7" s="242"/>
      <c r="I7" s="242"/>
      <c r="J7" s="242"/>
      <c r="K7" s="242"/>
      <c r="L7" s="242"/>
      <c r="M7" s="243"/>
    </row>
    <row r="8" spans="1:13">
      <c r="A8" s="199"/>
      <c r="B8" s="242"/>
      <c r="C8" s="242"/>
      <c r="D8" s="242"/>
      <c r="E8" s="242"/>
      <c r="F8" s="242"/>
      <c r="G8" s="242"/>
      <c r="H8" s="242"/>
      <c r="I8" s="242"/>
      <c r="J8" s="242"/>
      <c r="K8" s="242"/>
      <c r="L8" s="242"/>
      <c r="M8" s="243"/>
    </row>
    <row r="9" spans="1:13">
      <c r="A9" s="87"/>
      <c r="B9" s="102" t="s">
        <v>259</v>
      </c>
      <c r="M9" s="86"/>
    </row>
    <row r="10" spans="1:13">
      <c r="M10" s="86"/>
    </row>
    <row r="11" spans="1:13" ht="15.6">
      <c r="A11" s="88" t="s">
        <v>176</v>
      </c>
      <c r="B11" s="200" t="s">
        <v>177</v>
      </c>
      <c r="M11" s="86"/>
    </row>
    <row r="12" spans="1:13" ht="15.6">
      <c r="A12" s="87"/>
      <c r="B12" s="201"/>
      <c r="M12" s="86"/>
    </row>
    <row r="13" spans="1:13" ht="15.6">
      <c r="A13" s="87"/>
      <c r="B13" s="245" t="s">
        <v>179</v>
      </c>
      <c r="C13" s="245"/>
      <c r="D13" s="245"/>
      <c r="E13" s="245"/>
      <c r="F13" s="245"/>
      <c r="G13" s="245"/>
      <c r="H13" s="245"/>
      <c r="I13" s="245"/>
      <c r="J13" s="245"/>
      <c r="K13" s="245"/>
      <c r="L13" s="245"/>
      <c r="M13" s="86"/>
    </row>
    <row r="14" spans="1:13">
      <c r="A14" s="87"/>
      <c r="B14" s="244" t="s">
        <v>242</v>
      </c>
      <c r="C14" s="244"/>
      <c r="D14" s="244"/>
      <c r="E14" s="244"/>
      <c r="F14" s="244"/>
      <c r="G14" s="244"/>
      <c r="H14" s="244"/>
      <c r="I14" s="244"/>
      <c r="J14" s="244"/>
      <c r="K14" s="244"/>
      <c r="L14" s="244"/>
      <c r="M14" s="86"/>
    </row>
    <row r="15" spans="1:13">
      <c r="A15" s="87"/>
      <c r="B15" s="244"/>
      <c r="C15" s="244"/>
      <c r="D15" s="244"/>
      <c r="E15" s="244"/>
      <c r="F15" s="244"/>
      <c r="G15" s="244"/>
      <c r="H15" s="244"/>
      <c r="I15" s="244"/>
      <c r="J15" s="244"/>
      <c r="K15" s="244"/>
      <c r="L15" s="244"/>
      <c r="M15" s="86"/>
    </row>
    <row r="16" spans="1:13">
      <c r="A16" s="87"/>
      <c r="B16" s="244"/>
      <c r="C16" s="244"/>
      <c r="D16" s="244"/>
      <c r="E16" s="244"/>
      <c r="F16" s="244"/>
      <c r="G16" s="244"/>
      <c r="H16" s="244"/>
      <c r="I16" s="244"/>
      <c r="J16" s="244"/>
      <c r="K16" s="244"/>
      <c r="L16" s="244"/>
      <c r="M16" s="86"/>
    </row>
    <row r="17" spans="1:13">
      <c r="A17" s="87"/>
      <c r="B17" s="244"/>
      <c r="C17" s="244"/>
      <c r="D17" s="244"/>
      <c r="E17" s="244"/>
      <c r="F17" s="244"/>
      <c r="G17" s="244"/>
      <c r="H17" s="244"/>
      <c r="I17" s="244"/>
      <c r="J17" s="244"/>
      <c r="K17" s="244"/>
      <c r="L17" s="244"/>
      <c r="M17" s="86"/>
    </row>
    <row r="18" spans="1:13" ht="21" customHeight="1">
      <c r="A18" s="87"/>
      <c r="B18" s="244"/>
      <c r="C18" s="244"/>
      <c r="D18" s="244"/>
      <c r="E18" s="244"/>
      <c r="F18" s="244"/>
      <c r="G18" s="244"/>
      <c r="H18" s="244"/>
      <c r="I18" s="244"/>
      <c r="J18" s="244"/>
      <c r="K18" s="244"/>
      <c r="L18" s="244"/>
      <c r="M18" s="86"/>
    </row>
    <row r="19" spans="1:13" ht="15.6">
      <c r="A19" s="87"/>
      <c r="B19" s="61"/>
      <c r="C19" s="61"/>
      <c r="D19" s="61"/>
      <c r="E19" s="61"/>
      <c r="F19" s="61"/>
      <c r="G19" s="61"/>
      <c r="H19" s="61"/>
      <c r="I19" s="61"/>
      <c r="J19" s="61"/>
      <c r="K19" s="61"/>
      <c r="L19" s="61"/>
      <c r="M19" s="86"/>
    </row>
    <row r="20" spans="1:13" ht="15.6">
      <c r="A20" s="88" t="s">
        <v>176</v>
      </c>
      <c r="B20" s="200" t="s">
        <v>243</v>
      </c>
      <c r="M20" s="86"/>
    </row>
    <row r="21" spans="1:13">
      <c r="A21" s="87"/>
      <c r="M21" s="86"/>
    </row>
    <row r="22" spans="1:13">
      <c r="A22" s="87"/>
      <c r="B22" s="234" t="s">
        <v>244</v>
      </c>
      <c r="C22" s="234"/>
      <c r="D22" s="234"/>
      <c r="E22" s="234"/>
      <c r="F22" s="234"/>
      <c r="G22" s="234"/>
      <c r="H22" s="234"/>
      <c r="I22" s="234"/>
      <c r="J22" s="234"/>
      <c r="K22" s="234"/>
      <c r="L22" s="234"/>
      <c r="M22" s="86"/>
    </row>
    <row r="23" spans="1:13">
      <c r="A23" s="87"/>
      <c r="B23" s="234"/>
      <c r="C23" s="234"/>
      <c r="D23" s="234"/>
      <c r="E23" s="234"/>
      <c r="F23" s="234"/>
      <c r="G23" s="234"/>
      <c r="H23" s="234"/>
      <c r="I23" s="234"/>
      <c r="J23" s="234"/>
      <c r="K23" s="234"/>
      <c r="L23" s="234"/>
      <c r="M23" s="86"/>
    </row>
    <row r="24" spans="1:13" ht="15" thickBot="1">
      <c r="A24" s="89"/>
      <c r="B24" s="235"/>
      <c r="C24" s="235"/>
      <c r="D24" s="235"/>
      <c r="E24" s="235"/>
      <c r="F24" s="235"/>
      <c r="G24" s="235"/>
      <c r="H24" s="235"/>
      <c r="I24" s="235"/>
      <c r="J24" s="235"/>
      <c r="K24" s="235"/>
      <c r="L24" s="235"/>
      <c r="M24" s="90"/>
    </row>
  </sheetData>
  <sheetProtection algorithmName="SHA-512" hashValue="4RtDZ34cpDT6JSyQ0qxyby6p4By6qdBAs30v/uhOpKx5NieGoMGXzzLry7hqT9LzQ4yWXlvPDvjDKiqnkD421w==" saltValue="L6GV0nTwyLWQ+C/DwG/saA==" spinCount="100000" sheet="1" objects="1" scenarios="1"/>
  <mergeCells count="5">
    <mergeCell ref="B22:L24"/>
    <mergeCell ref="A1:I2"/>
    <mergeCell ref="B4:M8"/>
    <mergeCell ref="B14:L18"/>
    <mergeCell ref="B13:L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C46"/>
  <sheetViews>
    <sheetView showGridLines="0" zoomScale="80" zoomScaleNormal="80" workbookViewId="0">
      <selection activeCell="D12" sqref="D12:E12"/>
    </sheetView>
  </sheetViews>
  <sheetFormatPr baseColWidth="10" defaultColWidth="11.5546875" defaultRowHeight="14.4"/>
  <cols>
    <col min="1" max="1" width="6.5546875" style="15" customWidth="1"/>
    <col min="2" max="2" width="22" customWidth="1"/>
    <col min="3" max="3" width="9.88671875" style="10" customWidth="1"/>
    <col min="4" max="6" width="12.6640625" style="10" customWidth="1"/>
    <col min="7" max="8" width="11.88671875" style="10" customWidth="1"/>
    <col min="9" max="9" width="10.109375" style="10" customWidth="1"/>
    <col min="10" max="10" width="15" style="10" customWidth="1"/>
    <col min="11" max="11" width="2" style="10" customWidth="1"/>
    <col min="12" max="12" width="15" style="10" customWidth="1"/>
    <col min="13" max="13" width="2.109375" style="10" customWidth="1"/>
    <col min="14" max="14" width="24.88671875" style="10" customWidth="1"/>
    <col min="15" max="15" width="10.33203125" style="10" customWidth="1"/>
    <col min="16" max="16" width="12.6640625" style="10" customWidth="1"/>
    <col min="17" max="17" width="27.21875" style="10" customWidth="1"/>
    <col min="18" max="19" width="11.109375" style="10" customWidth="1"/>
    <col min="20" max="20" width="28.109375" style="10" customWidth="1"/>
    <col min="21" max="21" width="10.6640625" style="10" customWidth="1"/>
    <col min="22" max="22" width="11" style="10" customWidth="1"/>
    <col min="23" max="23" width="17.44140625" style="10" customWidth="1"/>
    <col min="24" max="24" width="14.44140625" customWidth="1"/>
    <col min="25" max="26" width="83.88671875" style="10" customWidth="1"/>
    <col min="28" max="28" width="13.33203125" customWidth="1"/>
    <col min="37" max="37" width="14.6640625" customWidth="1"/>
  </cols>
  <sheetData>
    <row r="1" spans="1:29" ht="25.8">
      <c r="A1" s="246" t="s">
        <v>181</v>
      </c>
      <c r="B1" s="247"/>
      <c r="C1" s="247"/>
      <c r="D1" s="247"/>
      <c r="E1" s="247"/>
      <c r="F1" s="247"/>
      <c r="G1" s="247"/>
      <c r="H1" s="247"/>
      <c r="I1" s="247"/>
      <c r="J1" s="247"/>
      <c r="K1" s="247"/>
      <c r="L1" s="247"/>
      <c r="M1" s="247"/>
      <c r="N1" s="247"/>
      <c r="O1" s="247"/>
      <c r="P1" s="247"/>
      <c r="Q1" s="247"/>
      <c r="R1" s="247"/>
      <c r="S1" s="247"/>
      <c r="T1" s="247"/>
      <c r="U1" s="247"/>
      <c r="V1" s="247"/>
      <c r="W1" s="247"/>
      <c r="X1" s="247"/>
    </row>
    <row r="2" spans="1:29" ht="15" customHeight="1">
      <c r="A2" s="92"/>
      <c r="B2" s="92"/>
      <c r="C2" s="92"/>
      <c r="D2" s="92"/>
      <c r="E2" s="92"/>
      <c r="F2" s="92"/>
      <c r="G2" s="92"/>
      <c r="H2" s="92"/>
      <c r="I2" s="92"/>
      <c r="J2" s="92"/>
      <c r="K2" s="92"/>
      <c r="L2" s="92"/>
      <c r="M2" s="92"/>
      <c r="N2" s="92"/>
      <c r="O2" s="92"/>
      <c r="P2" s="92"/>
      <c r="Q2" s="92"/>
      <c r="R2" s="92"/>
      <c r="S2" s="92"/>
      <c r="T2" s="92"/>
      <c r="U2" s="92"/>
      <c r="V2" s="92"/>
      <c r="W2" s="92"/>
      <c r="X2" s="92"/>
    </row>
    <row r="3" spans="1:29" ht="15" customHeight="1">
      <c r="A3" s="93" t="s">
        <v>245</v>
      </c>
      <c r="B3" s="93"/>
      <c r="C3" s="93"/>
      <c r="D3" s="93"/>
      <c r="E3" s="93"/>
      <c r="F3" s="93"/>
      <c r="G3" s="93"/>
      <c r="H3" s="93"/>
      <c r="I3" s="93"/>
      <c r="J3" s="93"/>
      <c r="K3" s="93"/>
      <c r="L3" s="93"/>
      <c r="M3" s="93"/>
      <c r="N3" s="93"/>
      <c r="O3" s="93"/>
      <c r="P3" s="93"/>
      <c r="Q3" s="93"/>
      <c r="R3" s="93"/>
      <c r="S3" s="93"/>
      <c r="T3" s="93"/>
      <c r="U3" s="93"/>
      <c r="V3" s="93"/>
      <c r="W3" s="93"/>
      <c r="X3" s="93"/>
    </row>
    <row r="4" spans="1:29" ht="15" customHeight="1">
      <c r="A4" s="93" t="s">
        <v>249</v>
      </c>
      <c r="B4" s="93"/>
      <c r="C4" s="93"/>
      <c r="D4" s="93"/>
      <c r="E4" s="93"/>
      <c r="F4" s="93"/>
      <c r="G4" s="93"/>
      <c r="H4" s="93"/>
      <c r="I4" s="93"/>
      <c r="J4" s="93"/>
      <c r="K4" s="93"/>
      <c r="L4" s="93"/>
      <c r="M4" s="93"/>
      <c r="N4" s="93"/>
      <c r="O4" s="93"/>
      <c r="P4" s="93"/>
      <c r="Q4" s="93"/>
      <c r="R4" s="93"/>
      <c r="S4" s="93"/>
      <c r="T4" s="93"/>
      <c r="U4" s="93"/>
      <c r="V4" s="93"/>
      <c r="W4" s="93"/>
      <c r="X4" s="93"/>
    </row>
    <row r="5" spans="1:29" ht="15" customHeight="1">
      <c r="A5" s="204" t="s">
        <v>246</v>
      </c>
      <c r="B5" s="204"/>
      <c r="C5" s="204"/>
      <c r="D5" s="204"/>
      <c r="E5" s="204"/>
      <c r="F5" s="204"/>
      <c r="G5" s="204"/>
      <c r="H5" s="204"/>
      <c r="I5" s="204"/>
      <c r="J5" s="204"/>
      <c r="K5" s="204"/>
      <c r="L5" s="204"/>
      <c r="M5" s="204"/>
      <c r="N5" s="204"/>
      <c r="O5" s="204"/>
      <c r="P5" s="204"/>
      <c r="Q5" s="204"/>
      <c r="R5" s="204"/>
      <c r="S5" s="204"/>
      <c r="T5" s="204"/>
      <c r="U5" s="204"/>
      <c r="V5" s="204"/>
      <c r="W5" s="204"/>
      <c r="X5" s="204"/>
    </row>
    <row r="6" spans="1:29" ht="15" customHeight="1">
      <c r="A6" s="204" t="s">
        <v>171</v>
      </c>
      <c r="B6" s="204"/>
      <c r="C6" s="204"/>
      <c r="D6" s="204"/>
      <c r="E6" s="204"/>
      <c r="F6" s="204"/>
      <c r="G6" s="204"/>
      <c r="H6" s="204"/>
      <c r="I6" s="204"/>
      <c r="J6" s="204"/>
      <c r="K6" s="204"/>
      <c r="L6" s="204"/>
      <c r="M6" s="204"/>
      <c r="N6" s="204"/>
      <c r="O6" s="204"/>
      <c r="P6" s="204"/>
      <c r="Q6" s="204"/>
      <c r="R6" s="204"/>
      <c r="S6" s="204"/>
      <c r="T6" s="204"/>
      <c r="U6" s="204"/>
      <c r="V6" s="204"/>
      <c r="W6" s="204"/>
      <c r="X6" s="204"/>
    </row>
    <row r="7" spans="1:29" s="11" customFormat="1" ht="30" customHeight="1">
      <c r="A7" s="251" t="s">
        <v>255</v>
      </c>
      <c r="B7" s="251"/>
      <c r="C7" s="251"/>
      <c r="D7" s="251"/>
      <c r="E7" s="251"/>
      <c r="F7" s="251"/>
      <c r="G7" s="251"/>
      <c r="H7" s="251"/>
      <c r="I7" s="251"/>
      <c r="J7" s="251"/>
      <c r="K7" s="251"/>
      <c r="L7" s="251"/>
      <c r="M7" s="251"/>
      <c r="N7" s="251"/>
      <c r="O7" s="251"/>
      <c r="P7" s="251"/>
      <c r="Q7" s="251"/>
      <c r="R7" s="251"/>
      <c r="S7" s="251"/>
      <c r="T7" s="251"/>
      <c r="U7" s="251"/>
      <c r="V7" s="251"/>
      <c r="W7" s="205"/>
      <c r="X7" s="205"/>
      <c r="Y7" s="44"/>
      <c r="Z7" s="44"/>
    </row>
    <row r="8" spans="1:29" ht="15" customHeight="1">
      <c r="A8" s="204" t="s">
        <v>250</v>
      </c>
      <c r="B8" s="204"/>
      <c r="C8" s="204"/>
      <c r="D8" s="204"/>
      <c r="E8" s="204"/>
      <c r="F8" s="204"/>
      <c r="G8" s="204"/>
      <c r="H8" s="204"/>
      <c r="I8" s="204"/>
      <c r="J8" s="204"/>
      <c r="K8" s="204"/>
      <c r="L8" s="204"/>
      <c r="M8" s="204"/>
      <c r="N8" s="204"/>
      <c r="O8" s="204"/>
      <c r="P8" s="204"/>
      <c r="Q8" s="204"/>
      <c r="R8" s="204"/>
      <c r="S8" s="204"/>
      <c r="T8" s="204"/>
      <c r="U8" s="204"/>
      <c r="V8" s="204"/>
      <c r="W8" s="204"/>
      <c r="X8" s="204"/>
    </row>
    <row r="9" spans="1:29" ht="15.6">
      <c r="A9" s="204" t="s">
        <v>162</v>
      </c>
      <c r="B9" s="204"/>
      <c r="C9" s="204"/>
      <c r="D9" s="204"/>
      <c r="E9" s="204"/>
      <c r="F9" s="204"/>
      <c r="G9" s="204"/>
      <c r="H9" s="204"/>
      <c r="I9" s="204"/>
      <c r="J9" s="204"/>
      <c r="K9" s="204"/>
      <c r="L9" s="204"/>
      <c r="M9" s="204"/>
      <c r="N9" s="204"/>
      <c r="O9" s="204"/>
      <c r="P9" s="204"/>
      <c r="Q9" s="204"/>
      <c r="R9" s="204"/>
      <c r="S9" s="204"/>
      <c r="T9" s="204"/>
      <c r="U9" s="204"/>
      <c r="V9" s="204"/>
      <c r="W9" s="204"/>
      <c r="X9" s="204"/>
    </row>
    <row r="10" spans="1:29" ht="15" thickBot="1">
      <c r="A10" s="58"/>
    </row>
    <row r="11" spans="1:29" s="48" customFormat="1" ht="62.4">
      <c r="A11" s="58"/>
      <c r="B11" s="174" t="s">
        <v>89</v>
      </c>
      <c r="C11" s="110" t="s">
        <v>107</v>
      </c>
      <c r="D11" s="110" t="s">
        <v>112</v>
      </c>
      <c r="E11" s="110" t="s">
        <v>201</v>
      </c>
      <c r="F11" s="110" t="s">
        <v>120</v>
      </c>
      <c r="G11" s="110" t="s">
        <v>235</v>
      </c>
      <c r="H11" s="110" t="s">
        <v>158</v>
      </c>
      <c r="I11" s="110" t="s">
        <v>241</v>
      </c>
      <c r="J11" s="110" t="s">
        <v>247</v>
      </c>
      <c r="K11" s="77"/>
      <c r="L11" s="248" t="s">
        <v>248</v>
      </c>
      <c r="M11" s="10"/>
      <c r="N11" s="110" t="s">
        <v>163</v>
      </c>
      <c r="O11" s="110" t="s">
        <v>168</v>
      </c>
      <c r="P11" s="110" t="s">
        <v>167</v>
      </c>
      <c r="Q11" s="110" t="s">
        <v>164</v>
      </c>
      <c r="R11" s="110" t="s">
        <v>169</v>
      </c>
      <c r="S11" s="110" t="s">
        <v>165</v>
      </c>
      <c r="T11" s="110" t="s">
        <v>166</v>
      </c>
      <c r="U11" s="110" t="s">
        <v>170</v>
      </c>
      <c r="V11" s="110" t="s">
        <v>159</v>
      </c>
      <c r="W11" s="110" t="s">
        <v>161</v>
      </c>
      <c r="X11" s="110" t="s">
        <v>160</v>
      </c>
      <c r="Z11" s="49"/>
      <c r="AA11" s="11"/>
      <c r="AB11" t="s">
        <v>117</v>
      </c>
      <c r="AC11" s="76" t="s">
        <v>128</v>
      </c>
    </row>
    <row r="12" spans="1:29" ht="15.6">
      <c r="A12" s="10" t="s">
        <v>117</v>
      </c>
      <c r="B12" s="106" t="s">
        <v>182</v>
      </c>
      <c r="C12" s="109"/>
      <c r="D12" s="109"/>
      <c r="E12" s="109"/>
      <c r="F12" s="109"/>
      <c r="G12" s="209" t="str">
        <f t="shared" ref="G12:G31" si="0">IF(D12="","",F12/D12)</f>
        <v/>
      </c>
      <c r="H12" s="208">
        <f>F12-N12-Q12-T12</f>
        <v>0</v>
      </c>
      <c r="I12" s="173"/>
      <c r="J12" s="20">
        <f>H12*I12/100</f>
        <v>0</v>
      </c>
      <c r="K12" s="202"/>
      <c r="L12" s="249"/>
      <c r="N12" s="173"/>
      <c r="O12" s="173">
        <v>13.5</v>
      </c>
      <c r="P12" s="176">
        <v>0.01</v>
      </c>
      <c r="Q12" s="173"/>
      <c r="R12" s="173">
        <v>10</v>
      </c>
      <c r="S12" s="176">
        <v>1.4999999999999999E-2</v>
      </c>
      <c r="T12" s="173"/>
      <c r="U12" s="173">
        <v>15</v>
      </c>
      <c r="V12" s="176">
        <v>1.4999999999999999E-2</v>
      </c>
      <c r="W12" s="20">
        <f>(N12*O12+Q12*R12+T12*U12)/100</f>
        <v>0</v>
      </c>
      <c r="X12" s="210">
        <f>J12+W12</f>
        <v>0</v>
      </c>
      <c r="Z12" s="59"/>
      <c r="AB12" t="s">
        <v>116</v>
      </c>
      <c r="AC12" s="75">
        <f t="shared" ref="AC12:AC31" si="1">IF(A12="oui",1,0)</f>
        <v>1</v>
      </c>
    </row>
    <row r="13" spans="1:29" ht="15.6">
      <c r="A13" s="10" t="s">
        <v>117</v>
      </c>
      <c r="B13" s="106" t="s">
        <v>183</v>
      </c>
      <c r="C13" s="109"/>
      <c r="D13" s="109"/>
      <c r="E13" s="109"/>
      <c r="F13" s="109"/>
      <c r="G13" s="209" t="str">
        <f t="shared" si="0"/>
        <v/>
      </c>
      <c r="H13" s="208">
        <f t="shared" ref="H13:H31" si="2">F13-N13-Q13-T13</f>
        <v>0</v>
      </c>
      <c r="I13" s="173"/>
      <c r="J13" s="20">
        <f t="shared" ref="J13:J31" si="3">H13*I13/100</f>
        <v>0</v>
      </c>
      <c r="K13" s="202"/>
      <c r="L13" s="249"/>
      <c r="N13" s="173"/>
      <c r="O13" s="206">
        <f>$O$12</f>
        <v>13.5</v>
      </c>
      <c r="P13" s="207">
        <f>$P$12</f>
        <v>0.01</v>
      </c>
      <c r="Q13" s="173"/>
      <c r="R13" s="206">
        <f>$R$12</f>
        <v>10</v>
      </c>
      <c r="S13" s="207">
        <f>$S$12</f>
        <v>1.4999999999999999E-2</v>
      </c>
      <c r="T13" s="173"/>
      <c r="U13" s="206">
        <f>$U$12</f>
        <v>15</v>
      </c>
      <c r="V13" s="207">
        <f>$V$12</f>
        <v>1.4999999999999999E-2</v>
      </c>
      <c r="W13" s="20">
        <f t="shared" ref="W13:W31" si="4">(N13*O13+Q13*R13+T13*U13)/100</f>
        <v>0</v>
      </c>
      <c r="X13" s="210">
        <f t="shared" ref="X13:X31" si="5">J13+W13</f>
        <v>0</v>
      </c>
      <c r="AC13" s="75">
        <f t="shared" si="1"/>
        <v>1</v>
      </c>
    </row>
    <row r="14" spans="1:29" ht="15.6">
      <c r="A14" s="10" t="s">
        <v>117</v>
      </c>
      <c r="B14" s="106" t="s">
        <v>184</v>
      </c>
      <c r="C14" s="109"/>
      <c r="D14" s="109"/>
      <c r="E14" s="109"/>
      <c r="F14" s="109"/>
      <c r="G14" s="209" t="str">
        <f t="shared" si="0"/>
        <v/>
      </c>
      <c r="H14" s="208">
        <f t="shared" si="2"/>
        <v>0</v>
      </c>
      <c r="I14" s="173"/>
      <c r="J14" s="20">
        <f t="shared" si="3"/>
        <v>0</v>
      </c>
      <c r="K14" s="202"/>
      <c r="L14" s="249"/>
      <c r="N14" s="173"/>
      <c r="O14" s="206">
        <f t="shared" ref="O14:O31" si="6">$O$12</f>
        <v>13.5</v>
      </c>
      <c r="P14" s="207">
        <f t="shared" ref="P14:P31" si="7">$P$12</f>
        <v>0.01</v>
      </c>
      <c r="Q14" s="173"/>
      <c r="R14" s="206">
        <f t="shared" ref="R14:R31" si="8">$R$12</f>
        <v>10</v>
      </c>
      <c r="S14" s="207">
        <f t="shared" ref="S14:S31" si="9">$S$12</f>
        <v>1.4999999999999999E-2</v>
      </c>
      <c r="T14" s="173"/>
      <c r="U14" s="206">
        <f t="shared" ref="U14:U31" si="10">$U$12</f>
        <v>15</v>
      </c>
      <c r="V14" s="207">
        <f t="shared" ref="V14:V31" si="11">$V$12</f>
        <v>1.4999999999999999E-2</v>
      </c>
      <c r="W14" s="20">
        <f t="shared" si="4"/>
        <v>0</v>
      </c>
      <c r="X14" s="210">
        <f t="shared" si="5"/>
        <v>0</v>
      </c>
      <c r="Z14" s="60"/>
      <c r="AC14" s="75">
        <f t="shared" si="1"/>
        <v>1</v>
      </c>
    </row>
    <row r="15" spans="1:29" ht="15.6">
      <c r="A15" s="10" t="s">
        <v>117</v>
      </c>
      <c r="B15" s="106" t="s">
        <v>185</v>
      </c>
      <c r="C15" s="109"/>
      <c r="D15" s="109"/>
      <c r="E15" s="109"/>
      <c r="F15" s="109"/>
      <c r="G15" s="209" t="str">
        <f t="shared" si="0"/>
        <v/>
      </c>
      <c r="H15" s="208">
        <f t="shared" si="2"/>
        <v>0</v>
      </c>
      <c r="I15" s="173"/>
      <c r="J15" s="20">
        <f t="shared" si="3"/>
        <v>0</v>
      </c>
      <c r="K15" s="202"/>
      <c r="L15" s="249"/>
      <c r="N15" s="173"/>
      <c r="O15" s="206">
        <f t="shared" si="6"/>
        <v>13.5</v>
      </c>
      <c r="P15" s="207">
        <f t="shared" si="7"/>
        <v>0.01</v>
      </c>
      <c r="Q15" s="173"/>
      <c r="R15" s="206">
        <f t="shared" si="8"/>
        <v>10</v>
      </c>
      <c r="S15" s="207">
        <f t="shared" si="9"/>
        <v>1.4999999999999999E-2</v>
      </c>
      <c r="T15" s="173"/>
      <c r="U15" s="206">
        <f t="shared" si="10"/>
        <v>15</v>
      </c>
      <c r="V15" s="207">
        <f t="shared" si="11"/>
        <v>1.4999999999999999E-2</v>
      </c>
      <c r="W15" s="20">
        <f t="shared" si="4"/>
        <v>0</v>
      </c>
      <c r="X15" s="210">
        <f t="shared" si="5"/>
        <v>0</v>
      </c>
      <c r="Z15" s="60"/>
      <c r="AC15" s="75">
        <f t="shared" si="1"/>
        <v>1</v>
      </c>
    </row>
    <row r="16" spans="1:29" ht="15.6">
      <c r="A16" s="10" t="s">
        <v>117</v>
      </c>
      <c r="B16" s="106" t="s">
        <v>65</v>
      </c>
      <c r="C16" s="109"/>
      <c r="D16" s="109"/>
      <c r="E16" s="109"/>
      <c r="F16" s="109"/>
      <c r="G16" s="209" t="str">
        <f t="shared" si="0"/>
        <v/>
      </c>
      <c r="H16" s="208">
        <f t="shared" si="2"/>
        <v>0</v>
      </c>
      <c r="I16" s="173"/>
      <c r="J16" s="20">
        <f t="shared" si="3"/>
        <v>0</v>
      </c>
      <c r="K16" s="202"/>
      <c r="L16" s="249"/>
      <c r="N16" s="173"/>
      <c r="O16" s="206">
        <f t="shared" si="6"/>
        <v>13.5</v>
      </c>
      <c r="P16" s="207">
        <f t="shared" si="7"/>
        <v>0.01</v>
      </c>
      <c r="Q16" s="173"/>
      <c r="R16" s="206">
        <f t="shared" si="8"/>
        <v>10</v>
      </c>
      <c r="S16" s="207">
        <f t="shared" si="9"/>
        <v>1.4999999999999999E-2</v>
      </c>
      <c r="T16" s="173"/>
      <c r="U16" s="206">
        <f t="shared" si="10"/>
        <v>15</v>
      </c>
      <c r="V16" s="207">
        <f t="shared" si="11"/>
        <v>1.4999999999999999E-2</v>
      </c>
      <c r="W16" s="20">
        <f t="shared" si="4"/>
        <v>0</v>
      </c>
      <c r="X16" s="210">
        <f t="shared" si="5"/>
        <v>0</v>
      </c>
      <c r="Z16" s="59"/>
      <c r="AC16" s="75">
        <f t="shared" si="1"/>
        <v>1</v>
      </c>
    </row>
    <row r="17" spans="1:29" ht="15.6">
      <c r="A17" s="10" t="s">
        <v>117</v>
      </c>
      <c r="B17" s="106" t="s">
        <v>66</v>
      </c>
      <c r="C17" s="109"/>
      <c r="D17" s="109"/>
      <c r="E17" s="109"/>
      <c r="F17" s="109"/>
      <c r="G17" s="209" t="str">
        <f t="shared" si="0"/>
        <v/>
      </c>
      <c r="H17" s="208">
        <f t="shared" si="2"/>
        <v>0</v>
      </c>
      <c r="I17" s="173"/>
      <c r="J17" s="20">
        <f t="shared" si="3"/>
        <v>0</v>
      </c>
      <c r="K17" s="202"/>
      <c r="L17" s="249"/>
      <c r="N17" s="173"/>
      <c r="O17" s="206">
        <f t="shared" si="6"/>
        <v>13.5</v>
      </c>
      <c r="P17" s="207">
        <f t="shared" si="7"/>
        <v>0.01</v>
      </c>
      <c r="Q17" s="173"/>
      <c r="R17" s="206">
        <f t="shared" si="8"/>
        <v>10</v>
      </c>
      <c r="S17" s="207">
        <f t="shared" si="9"/>
        <v>1.4999999999999999E-2</v>
      </c>
      <c r="T17" s="173"/>
      <c r="U17" s="206">
        <f t="shared" si="10"/>
        <v>15</v>
      </c>
      <c r="V17" s="207">
        <f t="shared" si="11"/>
        <v>1.4999999999999999E-2</v>
      </c>
      <c r="W17" s="20">
        <f t="shared" si="4"/>
        <v>0</v>
      </c>
      <c r="X17" s="210">
        <f t="shared" si="5"/>
        <v>0</v>
      </c>
      <c r="AC17" s="75">
        <f t="shared" si="1"/>
        <v>1</v>
      </c>
    </row>
    <row r="18" spans="1:29" ht="15.6">
      <c r="A18" s="10" t="s">
        <v>117</v>
      </c>
      <c r="B18" s="106" t="s">
        <v>67</v>
      </c>
      <c r="C18" s="109"/>
      <c r="D18" s="109"/>
      <c r="E18" s="109"/>
      <c r="F18" s="109"/>
      <c r="G18" s="209" t="str">
        <f t="shared" si="0"/>
        <v/>
      </c>
      <c r="H18" s="208">
        <f t="shared" si="2"/>
        <v>0</v>
      </c>
      <c r="I18" s="173"/>
      <c r="J18" s="20">
        <f t="shared" si="3"/>
        <v>0</v>
      </c>
      <c r="K18" s="202"/>
      <c r="L18" s="249"/>
      <c r="N18" s="173"/>
      <c r="O18" s="206">
        <f t="shared" si="6"/>
        <v>13.5</v>
      </c>
      <c r="P18" s="207">
        <f t="shared" si="7"/>
        <v>0.01</v>
      </c>
      <c r="Q18" s="173"/>
      <c r="R18" s="206">
        <f t="shared" si="8"/>
        <v>10</v>
      </c>
      <c r="S18" s="207">
        <f t="shared" si="9"/>
        <v>1.4999999999999999E-2</v>
      </c>
      <c r="T18" s="173"/>
      <c r="U18" s="206">
        <f t="shared" si="10"/>
        <v>15</v>
      </c>
      <c r="V18" s="207">
        <f t="shared" si="11"/>
        <v>1.4999999999999999E-2</v>
      </c>
      <c r="W18" s="20">
        <f t="shared" si="4"/>
        <v>0</v>
      </c>
      <c r="X18" s="210">
        <f t="shared" si="5"/>
        <v>0</v>
      </c>
      <c r="Z18" s="61"/>
      <c r="AC18" s="75">
        <f t="shared" si="1"/>
        <v>1</v>
      </c>
    </row>
    <row r="19" spans="1:29" ht="15.6">
      <c r="A19" s="10" t="s">
        <v>117</v>
      </c>
      <c r="B19" s="106" t="s">
        <v>68</v>
      </c>
      <c r="C19" s="109"/>
      <c r="D19" s="109"/>
      <c r="E19" s="109"/>
      <c r="F19" s="109"/>
      <c r="G19" s="209" t="str">
        <f t="shared" si="0"/>
        <v/>
      </c>
      <c r="H19" s="208">
        <f t="shared" si="2"/>
        <v>0</v>
      </c>
      <c r="I19" s="173"/>
      <c r="J19" s="20">
        <f t="shared" si="3"/>
        <v>0</v>
      </c>
      <c r="K19" s="202"/>
      <c r="L19" s="249"/>
      <c r="N19" s="173"/>
      <c r="O19" s="206">
        <f t="shared" si="6"/>
        <v>13.5</v>
      </c>
      <c r="P19" s="207">
        <f t="shared" si="7"/>
        <v>0.01</v>
      </c>
      <c r="Q19" s="173"/>
      <c r="R19" s="206">
        <f t="shared" si="8"/>
        <v>10</v>
      </c>
      <c r="S19" s="207">
        <f t="shared" si="9"/>
        <v>1.4999999999999999E-2</v>
      </c>
      <c r="T19" s="173"/>
      <c r="U19" s="206">
        <f t="shared" si="10"/>
        <v>15</v>
      </c>
      <c r="V19" s="207">
        <f t="shared" si="11"/>
        <v>1.4999999999999999E-2</v>
      </c>
      <c r="W19" s="20">
        <f t="shared" si="4"/>
        <v>0</v>
      </c>
      <c r="X19" s="210">
        <f t="shared" si="5"/>
        <v>0</v>
      </c>
      <c r="Z19" s="61"/>
      <c r="AC19" s="75">
        <f t="shared" si="1"/>
        <v>1</v>
      </c>
    </row>
    <row r="20" spans="1:29" ht="15.6">
      <c r="A20" s="10" t="s">
        <v>117</v>
      </c>
      <c r="B20" s="106" t="s">
        <v>69</v>
      </c>
      <c r="C20" s="109"/>
      <c r="D20" s="109"/>
      <c r="E20" s="109"/>
      <c r="F20" s="109"/>
      <c r="G20" s="209" t="str">
        <f t="shared" si="0"/>
        <v/>
      </c>
      <c r="H20" s="208">
        <f t="shared" si="2"/>
        <v>0</v>
      </c>
      <c r="I20" s="173"/>
      <c r="J20" s="20">
        <f t="shared" si="3"/>
        <v>0</v>
      </c>
      <c r="K20" s="202"/>
      <c r="L20" s="249"/>
      <c r="N20" s="173"/>
      <c r="O20" s="206">
        <f t="shared" si="6"/>
        <v>13.5</v>
      </c>
      <c r="P20" s="207">
        <f t="shared" si="7"/>
        <v>0.01</v>
      </c>
      <c r="Q20" s="173"/>
      <c r="R20" s="206">
        <f t="shared" si="8"/>
        <v>10</v>
      </c>
      <c r="S20" s="207">
        <f t="shared" si="9"/>
        <v>1.4999999999999999E-2</v>
      </c>
      <c r="T20" s="173"/>
      <c r="U20" s="206">
        <f t="shared" si="10"/>
        <v>15</v>
      </c>
      <c r="V20" s="207">
        <f t="shared" si="11"/>
        <v>1.4999999999999999E-2</v>
      </c>
      <c r="W20" s="20">
        <f t="shared" si="4"/>
        <v>0</v>
      </c>
      <c r="X20" s="210">
        <f t="shared" si="5"/>
        <v>0</v>
      </c>
      <c r="Z20" s="59"/>
      <c r="AC20" s="75">
        <f t="shared" si="1"/>
        <v>1</v>
      </c>
    </row>
    <row r="21" spans="1:29" ht="15.6">
      <c r="A21" s="10" t="s">
        <v>116</v>
      </c>
      <c r="B21" s="106" t="s">
        <v>75</v>
      </c>
      <c r="C21" s="109"/>
      <c r="D21" s="109"/>
      <c r="E21" s="109"/>
      <c r="F21" s="109"/>
      <c r="G21" s="209" t="str">
        <f t="shared" si="0"/>
        <v/>
      </c>
      <c r="H21" s="208">
        <f t="shared" si="2"/>
        <v>0</v>
      </c>
      <c r="I21" s="173"/>
      <c r="J21" s="20">
        <f t="shared" si="3"/>
        <v>0</v>
      </c>
      <c r="K21" s="202"/>
      <c r="L21" s="249"/>
      <c r="N21" s="173"/>
      <c r="O21" s="206">
        <f t="shared" si="6"/>
        <v>13.5</v>
      </c>
      <c r="P21" s="207">
        <f t="shared" si="7"/>
        <v>0.01</v>
      </c>
      <c r="Q21" s="173"/>
      <c r="R21" s="206">
        <f t="shared" si="8"/>
        <v>10</v>
      </c>
      <c r="S21" s="207">
        <f t="shared" si="9"/>
        <v>1.4999999999999999E-2</v>
      </c>
      <c r="T21" s="173"/>
      <c r="U21" s="206">
        <f t="shared" si="10"/>
        <v>15</v>
      </c>
      <c r="V21" s="207">
        <f t="shared" si="11"/>
        <v>1.4999999999999999E-2</v>
      </c>
      <c r="W21" s="20">
        <f t="shared" si="4"/>
        <v>0</v>
      </c>
      <c r="X21" s="210">
        <f t="shared" si="5"/>
        <v>0</v>
      </c>
      <c r="Z21" s="62"/>
      <c r="AC21" s="75">
        <f t="shared" si="1"/>
        <v>0</v>
      </c>
    </row>
    <row r="22" spans="1:29" ht="15.6">
      <c r="A22" s="10" t="s">
        <v>116</v>
      </c>
      <c r="B22" s="106" t="s">
        <v>77</v>
      </c>
      <c r="C22" s="109"/>
      <c r="D22" s="109"/>
      <c r="E22" s="109"/>
      <c r="F22" s="109"/>
      <c r="G22" s="209" t="str">
        <f t="shared" si="0"/>
        <v/>
      </c>
      <c r="H22" s="208">
        <f t="shared" si="2"/>
        <v>0</v>
      </c>
      <c r="I22" s="173"/>
      <c r="J22" s="20">
        <f t="shared" si="3"/>
        <v>0</v>
      </c>
      <c r="K22" s="202"/>
      <c r="L22" s="249"/>
      <c r="N22" s="173"/>
      <c r="O22" s="206">
        <f t="shared" si="6"/>
        <v>13.5</v>
      </c>
      <c r="P22" s="207">
        <f t="shared" si="7"/>
        <v>0.01</v>
      </c>
      <c r="Q22" s="173"/>
      <c r="R22" s="206">
        <f t="shared" si="8"/>
        <v>10</v>
      </c>
      <c r="S22" s="207">
        <f t="shared" si="9"/>
        <v>1.4999999999999999E-2</v>
      </c>
      <c r="T22" s="173"/>
      <c r="U22" s="206">
        <f t="shared" si="10"/>
        <v>15</v>
      </c>
      <c r="V22" s="207">
        <f t="shared" si="11"/>
        <v>1.4999999999999999E-2</v>
      </c>
      <c r="W22" s="20">
        <f t="shared" si="4"/>
        <v>0</v>
      </c>
      <c r="X22" s="210">
        <f t="shared" si="5"/>
        <v>0</v>
      </c>
      <c r="Z22" s="62"/>
      <c r="AC22" s="75">
        <f t="shared" si="1"/>
        <v>0</v>
      </c>
    </row>
    <row r="23" spans="1:29" ht="15.6">
      <c r="A23" s="10" t="s">
        <v>116</v>
      </c>
      <c r="B23" s="106" t="s">
        <v>78</v>
      </c>
      <c r="C23" s="109"/>
      <c r="D23" s="109"/>
      <c r="E23" s="109"/>
      <c r="F23" s="109"/>
      <c r="G23" s="209" t="str">
        <f t="shared" si="0"/>
        <v/>
      </c>
      <c r="H23" s="208">
        <f t="shared" si="2"/>
        <v>0</v>
      </c>
      <c r="I23" s="173"/>
      <c r="J23" s="20">
        <f t="shared" si="3"/>
        <v>0</v>
      </c>
      <c r="K23" s="202"/>
      <c r="L23" s="249"/>
      <c r="N23" s="173"/>
      <c r="O23" s="206">
        <f t="shared" si="6"/>
        <v>13.5</v>
      </c>
      <c r="P23" s="207">
        <f t="shared" si="7"/>
        <v>0.01</v>
      </c>
      <c r="Q23" s="173"/>
      <c r="R23" s="206">
        <f t="shared" si="8"/>
        <v>10</v>
      </c>
      <c r="S23" s="207">
        <f t="shared" si="9"/>
        <v>1.4999999999999999E-2</v>
      </c>
      <c r="T23" s="173"/>
      <c r="U23" s="206">
        <f t="shared" si="10"/>
        <v>15</v>
      </c>
      <c r="V23" s="207">
        <f t="shared" si="11"/>
        <v>1.4999999999999999E-2</v>
      </c>
      <c r="W23" s="20">
        <f t="shared" si="4"/>
        <v>0</v>
      </c>
      <c r="X23" s="210">
        <f t="shared" si="5"/>
        <v>0</v>
      </c>
      <c r="AC23" s="75">
        <f t="shared" si="1"/>
        <v>0</v>
      </c>
    </row>
    <row r="24" spans="1:29" ht="15.6">
      <c r="A24" s="10" t="s">
        <v>116</v>
      </c>
      <c r="B24" s="106" t="s">
        <v>79</v>
      </c>
      <c r="C24" s="109"/>
      <c r="D24" s="109"/>
      <c r="E24" s="109"/>
      <c r="F24" s="109"/>
      <c r="G24" s="209" t="str">
        <f t="shared" si="0"/>
        <v/>
      </c>
      <c r="H24" s="208">
        <f t="shared" si="2"/>
        <v>0</v>
      </c>
      <c r="I24" s="173"/>
      <c r="J24" s="20">
        <f t="shared" si="3"/>
        <v>0</v>
      </c>
      <c r="K24" s="202"/>
      <c r="L24" s="249"/>
      <c r="N24" s="173"/>
      <c r="O24" s="206">
        <f t="shared" si="6"/>
        <v>13.5</v>
      </c>
      <c r="P24" s="207">
        <f t="shared" si="7"/>
        <v>0.01</v>
      </c>
      <c r="Q24" s="173"/>
      <c r="R24" s="206">
        <f t="shared" si="8"/>
        <v>10</v>
      </c>
      <c r="S24" s="207">
        <f t="shared" si="9"/>
        <v>1.4999999999999999E-2</v>
      </c>
      <c r="T24" s="173"/>
      <c r="U24" s="206">
        <f t="shared" si="10"/>
        <v>15</v>
      </c>
      <c r="V24" s="207">
        <f t="shared" si="11"/>
        <v>1.4999999999999999E-2</v>
      </c>
      <c r="W24" s="20">
        <f t="shared" si="4"/>
        <v>0</v>
      </c>
      <c r="X24" s="210">
        <f t="shared" si="5"/>
        <v>0</v>
      </c>
      <c r="AC24" s="75">
        <f t="shared" si="1"/>
        <v>0</v>
      </c>
    </row>
    <row r="25" spans="1:29" ht="15.6">
      <c r="A25" s="10" t="s">
        <v>116</v>
      </c>
      <c r="B25" s="106" t="s">
        <v>80</v>
      </c>
      <c r="C25" s="109"/>
      <c r="D25" s="109"/>
      <c r="E25" s="109"/>
      <c r="F25" s="109"/>
      <c r="G25" s="209" t="str">
        <f t="shared" si="0"/>
        <v/>
      </c>
      <c r="H25" s="208">
        <f t="shared" si="2"/>
        <v>0</v>
      </c>
      <c r="I25" s="173"/>
      <c r="J25" s="20">
        <f t="shared" si="3"/>
        <v>0</v>
      </c>
      <c r="K25" s="202"/>
      <c r="L25" s="249"/>
      <c r="N25" s="173"/>
      <c r="O25" s="206">
        <f t="shared" si="6"/>
        <v>13.5</v>
      </c>
      <c r="P25" s="207">
        <f t="shared" si="7"/>
        <v>0.01</v>
      </c>
      <c r="Q25" s="173"/>
      <c r="R25" s="206">
        <f t="shared" si="8"/>
        <v>10</v>
      </c>
      <c r="S25" s="207">
        <f t="shared" si="9"/>
        <v>1.4999999999999999E-2</v>
      </c>
      <c r="T25" s="173"/>
      <c r="U25" s="206">
        <f t="shared" si="10"/>
        <v>15</v>
      </c>
      <c r="V25" s="207">
        <f t="shared" si="11"/>
        <v>1.4999999999999999E-2</v>
      </c>
      <c r="W25" s="20">
        <f t="shared" si="4"/>
        <v>0</v>
      </c>
      <c r="X25" s="210">
        <f t="shared" si="5"/>
        <v>0</v>
      </c>
      <c r="AC25" s="75">
        <f t="shared" si="1"/>
        <v>0</v>
      </c>
    </row>
    <row r="26" spans="1:29" ht="15.6">
      <c r="A26" s="10" t="s">
        <v>116</v>
      </c>
      <c r="B26" s="106" t="s">
        <v>81</v>
      </c>
      <c r="C26" s="109"/>
      <c r="D26" s="109"/>
      <c r="E26" s="109"/>
      <c r="F26" s="109"/>
      <c r="G26" s="209" t="str">
        <f t="shared" si="0"/>
        <v/>
      </c>
      <c r="H26" s="208">
        <f t="shared" si="2"/>
        <v>0</v>
      </c>
      <c r="I26" s="173"/>
      <c r="J26" s="20">
        <f t="shared" si="3"/>
        <v>0</v>
      </c>
      <c r="K26" s="202"/>
      <c r="L26" s="249"/>
      <c r="N26" s="173"/>
      <c r="O26" s="206">
        <f t="shared" si="6"/>
        <v>13.5</v>
      </c>
      <c r="P26" s="207">
        <f t="shared" si="7"/>
        <v>0.01</v>
      </c>
      <c r="Q26" s="173"/>
      <c r="R26" s="206">
        <f t="shared" si="8"/>
        <v>10</v>
      </c>
      <c r="S26" s="207">
        <f t="shared" si="9"/>
        <v>1.4999999999999999E-2</v>
      </c>
      <c r="T26" s="173"/>
      <c r="U26" s="206">
        <f t="shared" si="10"/>
        <v>15</v>
      </c>
      <c r="V26" s="207">
        <f t="shared" si="11"/>
        <v>1.4999999999999999E-2</v>
      </c>
      <c r="W26" s="20">
        <f t="shared" si="4"/>
        <v>0</v>
      </c>
      <c r="X26" s="210">
        <f t="shared" si="5"/>
        <v>0</v>
      </c>
      <c r="AC26" s="75">
        <f t="shared" si="1"/>
        <v>0</v>
      </c>
    </row>
    <row r="27" spans="1:29" ht="15.6">
      <c r="A27" s="10" t="s">
        <v>116</v>
      </c>
      <c r="B27" s="106" t="s">
        <v>82</v>
      </c>
      <c r="C27" s="109"/>
      <c r="D27" s="109"/>
      <c r="E27" s="109"/>
      <c r="F27" s="109"/>
      <c r="G27" s="209" t="str">
        <f t="shared" si="0"/>
        <v/>
      </c>
      <c r="H27" s="208">
        <f t="shared" si="2"/>
        <v>0</v>
      </c>
      <c r="I27" s="173"/>
      <c r="J27" s="20">
        <f t="shared" si="3"/>
        <v>0</v>
      </c>
      <c r="K27" s="202"/>
      <c r="L27" s="249"/>
      <c r="N27" s="173"/>
      <c r="O27" s="206">
        <f t="shared" si="6"/>
        <v>13.5</v>
      </c>
      <c r="P27" s="207">
        <f t="shared" si="7"/>
        <v>0.01</v>
      </c>
      <c r="Q27" s="173"/>
      <c r="R27" s="206">
        <f t="shared" si="8"/>
        <v>10</v>
      </c>
      <c r="S27" s="207">
        <f t="shared" si="9"/>
        <v>1.4999999999999999E-2</v>
      </c>
      <c r="T27" s="173"/>
      <c r="U27" s="206">
        <f t="shared" si="10"/>
        <v>15</v>
      </c>
      <c r="V27" s="207">
        <f t="shared" si="11"/>
        <v>1.4999999999999999E-2</v>
      </c>
      <c r="W27" s="20">
        <f t="shared" si="4"/>
        <v>0</v>
      </c>
      <c r="X27" s="210">
        <f t="shared" si="5"/>
        <v>0</v>
      </c>
      <c r="AC27" s="75">
        <f t="shared" si="1"/>
        <v>0</v>
      </c>
    </row>
    <row r="28" spans="1:29" ht="15.6">
      <c r="A28" s="10" t="s">
        <v>116</v>
      </c>
      <c r="B28" s="106" t="s">
        <v>108</v>
      </c>
      <c r="C28" s="109"/>
      <c r="D28" s="109"/>
      <c r="E28" s="109"/>
      <c r="F28" s="109"/>
      <c r="G28" s="209" t="str">
        <f t="shared" si="0"/>
        <v/>
      </c>
      <c r="H28" s="208">
        <f t="shared" si="2"/>
        <v>0</v>
      </c>
      <c r="I28" s="173"/>
      <c r="J28" s="20">
        <f t="shared" si="3"/>
        <v>0</v>
      </c>
      <c r="K28" s="202"/>
      <c r="L28" s="249"/>
      <c r="N28" s="173"/>
      <c r="O28" s="206">
        <f t="shared" si="6"/>
        <v>13.5</v>
      </c>
      <c r="P28" s="207">
        <f t="shared" si="7"/>
        <v>0.01</v>
      </c>
      <c r="Q28" s="173"/>
      <c r="R28" s="206">
        <f t="shared" si="8"/>
        <v>10</v>
      </c>
      <c r="S28" s="207">
        <f t="shared" si="9"/>
        <v>1.4999999999999999E-2</v>
      </c>
      <c r="T28" s="173"/>
      <c r="U28" s="206">
        <f t="shared" si="10"/>
        <v>15</v>
      </c>
      <c r="V28" s="207">
        <f t="shared" si="11"/>
        <v>1.4999999999999999E-2</v>
      </c>
      <c r="W28" s="20">
        <f t="shared" si="4"/>
        <v>0</v>
      </c>
      <c r="X28" s="210">
        <f t="shared" si="5"/>
        <v>0</v>
      </c>
      <c r="AC28" s="75">
        <f t="shared" si="1"/>
        <v>0</v>
      </c>
    </row>
    <row r="29" spans="1:29" ht="15.6">
      <c r="A29" s="10" t="s">
        <v>116</v>
      </c>
      <c r="B29" s="106" t="s">
        <v>109</v>
      </c>
      <c r="C29" s="109"/>
      <c r="D29" s="109"/>
      <c r="E29" s="109"/>
      <c r="F29" s="109"/>
      <c r="G29" s="209" t="str">
        <f t="shared" si="0"/>
        <v/>
      </c>
      <c r="H29" s="208">
        <f t="shared" si="2"/>
        <v>0</v>
      </c>
      <c r="I29" s="173"/>
      <c r="J29" s="20">
        <f t="shared" si="3"/>
        <v>0</v>
      </c>
      <c r="K29" s="202"/>
      <c r="L29" s="249"/>
      <c r="N29" s="173"/>
      <c r="O29" s="206">
        <f t="shared" si="6"/>
        <v>13.5</v>
      </c>
      <c r="P29" s="207">
        <f t="shared" si="7"/>
        <v>0.01</v>
      </c>
      <c r="Q29" s="173"/>
      <c r="R29" s="206">
        <f t="shared" si="8"/>
        <v>10</v>
      </c>
      <c r="S29" s="207">
        <f t="shared" si="9"/>
        <v>1.4999999999999999E-2</v>
      </c>
      <c r="T29" s="173"/>
      <c r="U29" s="206">
        <f t="shared" si="10"/>
        <v>15</v>
      </c>
      <c r="V29" s="207">
        <f t="shared" si="11"/>
        <v>1.4999999999999999E-2</v>
      </c>
      <c r="W29" s="20">
        <f t="shared" si="4"/>
        <v>0</v>
      </c>
      <c r="X29" s="210">
        <f t="shared" si="5"/>
        <v>0</v>
      </c>
      <c r="AC29" s="75">
        <f t="shared" si="1"/>
        <v>0</v>
      </c>
    </row>
    <row r="30" spans="1:29" ht="15.6">
      <c r="A30" s="10" t="s">
        <v>116</v>
      </c>
      <c r="B30" s="106" t="s">
        <v>110</v>
      </c>
      <c r="C30" s="109"/>
      <c r="D30" s="109"/>
      <c r="E30" s="109"/>
      <c r="F30" s="109"/>
      <c r="G30" s="209" t="str">
        <f t="shared" si="0"/>
        <v/>
      </c>
      <c r="H30" s="208">
        <f t="shared" si="2"/>
        <v>0</v>
      </c>
      <c r="I30" s="173"/>
      <c r="J30" s="20">
        <f t="shared" si="3"/>
        <v>0</v>
      </c>
      <c r="K30" s="202"/>
      <c r="L30" s="249"/>
      <c r="N30" s="173"/>
      <c r="O30" s="206">
        <f t="shared" si="6"/>
        <v>13.5</v>
      </c>
      <c r="P30" s="207">
        <f t="shared" si="7"/>
        <v>0.01</v>
      </c>
      <c r="Q30" s="173"/>
      <c r="R30" s="206">
        <f t="shared" si="8"/>
        <v>10</v>
      </c>
      <c r="S30" s="207">
        <f t="shared" si="9"/>
        <v>1.4999999999999999E-2</v>
      </c>
      <c r="T30" s="173"/>
      <c r="U30" s="206">
        <f t="shared" si="10"/>
        <v>15</v>
      </c>
      <c r="V30" s="207">
        <f t="shared" si="11"/>
        <v>1.4999999999999999E-2</v>
      </c>
      <c r="W30" s="20">
        <f t="shared" si="4"/>
        <v>0</v>
      </c>
      <c r="X30" s="210">
        <f t="shared" si="5"/>
        <v>0</v>
      </c>
      <c r="AC30" s="75">
        <f t="shared" si="1"/>
        <v>0</v>
      </c>
    </row>
    <row r="31" spans="1:29" ht="16.2" thickBot="1">
      <c r="A31" s="10" t="s">
        <v>116</v>
      </c>
      <c r="B31" s="106" t="s">
        <v>111</v>
      </c>
      <c r="C31" s="109"/>
      <c r="D31" s="109"/>
      <c r="E31" s="109"/>
      <c r="F31" s="109"/>
      <c r="G31" s="209" t="str">
        <f t="shared" si="0"/>
        <v/>
      </c>
      <c r="H31" s="208">
        <f t="shared" si="2"/>
        <v>0</v>
      </c>
      <c r="I31" s="173"/>
      <c r="J31" s="20">
        <f t="shared" si="3"/>
        <v>0</v>
      </c>
      <c r="K31" s="202"/>
      <c r="L31" s="250"/>
      <c r="N31" s="173"/>
      <c r="O31" s="206">
        <f t="shared" si="6"/>
        <v>13.5</v>
      </c>
      <c r="P31" s="207">
        <f t="shared" si="7"/>
        <v>0.01</v>
      </c>
      <c r="Q31" s="173"/>
      <c r="R31" s="206">
        <f t="shared" si="8"/>
        <v>10</v>
      </c>
      <c r="S31" s="207">
        <f t="shared" si="9"/>
        <v>1.4999999999999999E-2</v>
      </c>
      <c r="T31" s="173"/>
      <c r="U31" s="206">
        <f t="shared" si="10"/>
        <v>15</v>
      </c>
      <c r="V31" s="207">
        <f t="shared" si="11"/>
        <v>1.4999999999999999E-2</v>
      </c>
      <c r="W31" s="20">
        <f t="shared" si="4"/>
        <v>0</v>
      </c>
      <c r="X31" s="210">
        <f t="shared" si="5"/>
        <v>0</v>
      </c>
      <c r="AC31" s="75">
        <f t="shared" si="1"/>
        <v>0</v>
      </c>
    </row>
    <row r="32" spans="1:29" ht="18">
      <c r="A32" s="73"/>
      <c r="B32" s="74"/>
      <c r="C32" s="175">
        <f>SUMPRODUCT(C12:C31,$AC$12:$AC$31)</f>
        <v>0</v>
      </c>
      <c r="D32" s="175">
        <f>SUMPRODUCT(D12:D31,$AC$12:$AC$31)</f>
        <v>0</v>
      </c>
      <c r="E32" s="175">
        <f>SUMPRODUCT(E12:E31,$AC$12:$AC$31)</f>
        <v>0</v>
      </c>
      <c r="F32" s="175">
        <f>SUMPRODUCT(F12:F31,$AC$12:$AC$31)</f>
        <v>0</v>
      </c>
      <c r="H32" s="175">
        <f>SUMPRODUCT(H12:H31,$AC$12:$AC$31)</f>
        <v>0</v>
      </c>
      <c r="I32" s="57"/>
      <c r="J32" s="175">
        <f>SUMPRODUCT(J12:J31,$AC$12:$AC$31)</f>
        <v>0</v>
      </c>
      <c r="K32" s="203"/>
      <c r="L32" s="203"/>
      <c r="N32" s="175">
        <f>SUMPRODUCT(N12:N31,$AC$12:$AC$31)</f>
        <v>0</v>
      </c>
      <c r="O32"/>
      <c r="P32"/>
      <c r="Q32" s="175">
        <f>SUMPRODUCT(Q12:Q31,$AC$12:$AC$31)</f>
        <v>0</v>
      </c>
      <c r="R32"/>
      <c r="S32"/>
      <c r="T32" s="175">
        <f>SUMPRODUCT(T12:T31,$AC$12:$AC$31)</f>
        <v>0</v>
      </c>
      <c r="W32" s="175">
        <f>SUMPRODUCT(W12:W31,$AC$12:$AC$31)</f>
        <v>0</v>
      </c>
      <c r="X32" s="175">
        <f>SUMPRODUCT(X12:X31,$AC$12:$AC$31)</f>
        <v>0</v>
      </c>
      <c r="AC32" s="48"/>
    </row>
    <row r="33" spans="1:29" ht="6.75" customHeight="1">
      <c r="A33"/>
      <c r="C33"/>
      <c r="D33"/>
      <c r="E33"/>
      <c r="F33"/>
      <c r="O33"/>
      <c r="P33"/>
      <c r="Q33"/>
      <c r="R33"/>
      <c r="S33"/>
      <c r="T33"/>
      <c r="W33"/>
      <c r="Y33"/>
      <c r="Z33"/>
    </row>
    <row r="34" spans="1:29">
      <c r="O34"/>
      <c r="P34"/>
      <c r="R34"/>
      <c r="S34"/>
      <c r="T34"/>
      <c r="AC34" s="48"/>
    </row>
    <row r="35" spans="1:29">
      <c r="A35"/>
      <c r="C35"/>
      <c r="D35"/>
      <c r="E35"/>
      <c r="F35"/>
      <c r="G35"/>
      <c r="H35"/>
      <c r="I35"/>
      <c r="J35"/>
      <c r="K35"/>
      <c r="L35"/>
      <c r="M35"/>
      <c r="N35"/>
      <c r="O35"/>
      <c r="P35"/>
      <c r="Q35"/>
      <c r="R35"/>
      <c r="S35"/>
      <c r="T35"/>
      <c r="U35"/>
      <c r="V35"/>
      <c r="W35"/>
      <c r="AC35" s="48"/>
    </row>
    <row r="36" spans="1:29">
      <c r="A36"/>
      <c r="C36"/>
      <c r="D36"/>
      <c r="E36"/>
      <c r="F36"/>
      <c r="G36"/>
      <c r="H36"/>
      <c r="I36"/>
      <c r="J36"/>
      <c r="K36"/>
      <c r="L36"/>
      <c r="M36"/>
      <c r="N36"/>
      <c r="O36"/>
      <c r="P36"/>
      <c r="Q36"/>
      <c r="R36"/>
      <c r="S36"/>
      <c r="T36"/>
      <c r="U36"/>
      <c r="V36"/>
      <c r="W36"/>
      <c r="AC36" s="48"/>
    </row>
    <row r="37" spans="1:29">
      <c r="A37"/>
      <c r="C37"/>
      <c r="D37"/>
      <c r="E37"/>
      <c r="F37"/>
      <c r="G37"/>
      <c r="H37"/>
      <c r="I37"/>
      <c r="J37"/>
      <c r="K37"/>
      <c r="L37"/>
      <c r="M37"/>
      <c r="N37"/>
      <c r="O37"/>
      <c r="P37"/>
      <c r="Q37"/>
      <c r="R37"/>
      <c r="S37"/>
      <c r="T37"/>
      <c r="U37"/>
      <c r="V37"/>
      <c r="AC37" s="48"/>
    </row>
    <row r="38" spans="1:29">
      <c r="A38"/>
      <c r="C38"/>
      <c r="D38"/>
      <c r="E38"/>
      <c r="F38"/>
      <c r="G38"/>
      <c r="H38"/>
      <c r="I38"/>
      <c r="J38"/>
      <c r="K38"/>
      <c r="L38"/>
      <c r="M38"/>
      <c r="N38"/>
      <c r="O38"/>
      <c r="P38"/>
      <c r="Q38"/>
      <c r="R38"/>
      <c r="S38"/>
      <c r="T38"/>
      <c r="U38"/>
      <c r="V38"/>
      <c r="AC38" s="48"/>
    </row>
    <row r="39" spans="1:29">
      <c r="A39"/>
      <c r="C39"/>
      <c r="D39"/>
      <c r="E39"/>
      <c r="F39"/>
      <c r="G39"/>
      <c r="H39"/>
      <c r="I39"/>
      <c r="J39"/>
      <c r="K39"/>
      <c r="L39"/>
      <c r="M39"/>
      <c r="N39"/>
      <c r="O39"/>
      <c r="P39"/>
      <c r="Q39"/>
      <c r="R39"/>
      <c r="S39"/>
      <c r="T39"/>
      <c r="U39"/>
      <c r="V39"/>
    </row>
    <row r="40" spans="1:29">
      <c r="A40"/>
      <c r="C40"/>
      <c r="D40"/>
      <c r="E40"/>
      <c r="F40"/>
      <c r="G40"/>
      <c r="H40"/>
      <c r="I40"/>
      <c r="J40"/>
      <c r="K40"/>
      <c r="L40"/>
      <c r="M40"/>
      <c r="N40"/>
      <c r="O40"/>
      <c r="P40"/>
      <c r="Q40"/>
      <c r="R40"/>
      <c r="S40"/>
      <c r="T40"/>
      <c r="U40"/>
      <c r="V40"/>
    </row>
    <row r="41" spans="1:29">
      <c r="A41"/>
      <c r="C41"/>
      <c r="D41"/>
      <c r="E41"/>
      <c r="F41"/>
      <c r="G41"/>
      <c r="H41"/>
      <c r="I41"/>
      <c r="J41"/>
      <c r="K41"/>
      <c r="L41"/>
      <c r="M41"/>
      <c r="N41"/>
      <c r="O41"/>
      <c r="P41"/>
      <c r="Q41"/>
      <c r="R41"/>
      <c r="S41"/>
      <c r="T41"/>
      <c r="U41"/>
      <c r="V41"/>
    </row>
    <row r="42" spans="1:29">
      <c r="A42"/>
      <c r="C42"/>
      <c r="D42"/>
      <c r="E42"/>
      <c r="F42"/>
      <c r="G42"/>
      <c r="H42"/>
      <c r="I42"/>
      <c r="J42"/>
      <c r="K42"/>
      <c r="L42"/>
      <c r="M42"/>
      <c r="N42"/>
      <c r="O42"/>
      <c r="P42"/>
      <c r="Q42"/>
      <c r="R42"/>
      <c r="S42"/>
      <c r="T42"/>
      <c r="U42"/>
      <c r="V42"/>
    </row>
    <row r="43" spans="1:29">
      <c r="A43"/>
      <c r="C43"/>
      <c r="D43"/>
      <c r="E43"/>
      <c r="F43"/>
      <c r="G43"/>
      <c r="H43"/>
      <c r="I43"/>
      <c r="J43"/>
      <c r="K43"/>
      <c r="L43"/>
      <c r="M43"/>
      <c r="N43"/>
      <c r="O43"/>
      <c r="P43"/>
      <c r="Q43"/>
      <c r="R43"/>
      <c r="S43"/>
      <c r="T43"/>
      <c r="U43"/>
      <c r="V43"/>
    </row>
    <row r="44" spans="1:29">
      <c r="A44"/>
      <c r="C44"/>
      <c r="D44"/>
      <c r="E44"/>
      <c r="F44"/>
      <c r="G44"/>
      <c r="H44"/>
      <c r="I44"/>
      <c r="J44"/>
      <c r="K44"/>
      <c r="L44"/>
      <c r="M44"/>
      <c r="N44"/>
      <c r="O44"/>
      <c r="P44"/>
      <c r="Q44"/>
      <c r="R44"/>
      <c r="S44"/>
      <c r="T44"/>
      <c r="U44"/>
      <c r="V44"/>
    </row>
    <row r="45" spans="1:29">
      <c r="A45"/>
      <c r="C45"/>
      <c r="D45"/>
      <c r="E45"/>
      <c r="F45"/>
      <c r="G45"/>
      <c r="H45"/>
      <c r="I45"/>
      <c r="J45"/>
      <c r="K45"/>
      <c r="L45"/>
      <c r="M45"/>
      <c r="N45"/>
      <c r="O45"/>
      <c r="P45"/>
      <c r="Q45"/>
      <c r="R45"/>
      <c r="S45"/>
      <c r="T45"/>
      <c r="U45"/>
      <c r="V45"/>
    </row>
    <row r="46" spans="1:29" s="16" customFormat="1">
      <c r="A46" s="18"/>
      <c r="C46" s="17"/>
      <c r="D46" s="17"/>
      <c r="E46" s="17"/>
      <c r="F46" s="17"/>
      <c r="G46" s="17"/>
      <c r="H46" s="17"/>
      <c r="I46" s="17"/>
      <c r="J46" s="17"/>
      <c r="K46" s="17"/>
      <c r="L46" s="17"/>
      <c r="M46" s="17"/>
      <c r="N46" s="17"/>
      <c r="O46" s="17"/>
      <c r="P46" s="17"/>
      <c r="Q46" s="17"/>
      <c r="R46" s="17"/>
      <c r="S46" s="17"/>
      <c r="T46" s="17"/>
      <c r="U46" s="17"/>
      <c r="V46" s="17"/>
      <c r="W46" s="17"/>
      <c r="Y46" s="17"/>
      <c r="Z46" s="17"/>
    </row>
  </sheetData>
  <mergeCells count="3">
    <mergeCell ref="A1:X1"/>
    <mergeCell ref="L11:L31"/>
    <mergeCell ref="A7:V7"/>
  </mergeCells>
  <phoneticPr fontId="42" type="noConversion"/>
  <conditionalFormatting sqref="A12:A31">
    <cfRule type="cellIs" dxfId="17" priority="3" operator="equal">
      <formula>"NON"</formula>
    </cfRule>
  </conditionalFormatting>
  <conditionalFormatting sqref="A12:A32">
    <cfRule type="cellIs" dxfId="16" priority="4" operator="equal">
      <formula>"Oui"</formula>
    </cfRule>
  </conditionalFormatting>
  <conditionalFormatting sqref="J12:K31">
    <cfRule type="dataBar" priority="13">
      <dataBar>
        <cfvo type="min"/>
        <cfvo type="max"/>
        <color rgb="FF008AEF"/>
      </dataBar>
    </cfRule>
  </conditionalFormatting>
  <conditionalFormatting sqref="W12:W31">
    <cfRule type="dataBar" priority="2">
      <dataBar>
        <cfvo type="min"/>
        <cfvo type="max"/>
        <color rgb="FF008AEF"/>
      </dataBar>
    </cfRule>
  </conditionalFormatting>
  <conditionalFormatting sqref="X12:X31">
    <cfRule type="dataBar" priority="1">
      <dataBar>
        <cfvo type="min"/>
        <cfvo type="max"/>
        <color rgb="FF008AEF"/>
      </dataBar>
    </cfRule>
  </conditionalFormatting>
  <dataValidations count="1">
    <dataValidation type="list" allowBlank="1" showInputMessage="1" showErrorMessage="1" sqref="A12:A31" xr:uid="{00000000-0002-0000-0100-000000000000}">
      <formula1>$AB$11:$AB$12</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D67"/>
  <sheetViews>
    <sheetView showGridLines="0" tabSelected="1" topLeftCell="A37" zoomScale="90" zoomScaleNormal="90" workbookViewId="0">
      <selection activeCell="H71" sqref="H71"/>
    </sheetView>
  </sheetViews>
  <sheetFormatPr baseColWidth="10" defaultColWidth="11.5546875" defaultRowHeight="14.4" outlineLevelRow="1"/>
  <cols>
    <col min="1" max="1" width="7.6640625" customWidth="1"/>
    <col min="2" max="2" width="17.33203125" customWidth="1"/>
    <col min="3" max="3" width="15" customWidth="1"/>
    <col min="4" max="4" width="11.5546875" customWidth="1"/>
    <col min="5" max="5" width="17.44140625" customWidth="1"/>
    <col min="6" max="6" width="16.44140625" customWidth="1"/>
    <col min="7" max="7" width="12.33203125" customWidth="1"/>
    <col min="8" max="8" width="11.88671875" customWidth="1"/>
    <col min="9" max="9" width="14.109375" customWidth="1"/>
    <col min="10" max="10" width="21.109375" customWidth="1"/>
    <col min="11" max="11" width="22" customWidth="1"/>
    <col min="12" max="12" width="15.33203125" customWidth="1"/>
    <col min="13" max="13" width="16.6640625" customWidth="1"/>
    <col min="14" max="14" width="15.88671875" customWidth="1"/>
    <col min="15" max="15" width="2.5546875" customWidth="1"/>
    <col min="16" max="16" width="28.109375" customWidth="1"/>
    <col min="17" max="17" width="71.21875" customWidth="1"/>
    <col min="18" max="18" width="22.77734375" customWidth="1"/>
    <col min="19" max="19" width="13.109375" customWidth="1"/>
    <col min="20" max="24" width="17.44140625" customWidth="1"/>
  </cols>
  <sheetData>
    <row r="1" spans="1:30" ht="45" customHeight="1" thickBot="1">
      <c r="A1" s="252" t="s">
        <v>180</v>
      </c>
      <c r="B1" s="253"/>
      <c r="C1" s="253"/>
      <c r="D1" s="253"/>
      <c r="E1" s="253"/>
      <c r="F1" s="253"/>
      <c r="G1" s="253"/>
      <c r="H1" s="253"/>
      <c r="I1" s="253"/>
      <c r="J1" s="253"/>
      <c r="K1" s="253"/>
      <c r="L1" s="253"/>
      <c r="M1" s="253"/>
      <c r="N1" s="254"/>
    </row>
    <row r="2" spans="1:30" ht="15" thickBot="1"/>
    <row r="3" spans="1:30" ht="26.4" thickBot="1">
      <c r="A3" s="255" t="s">
        <v>91</v>
      </c>
      <c r="B3" s="256"/>
      <c r="C3" s="256"/>
      <c r="D3" s="256"/>
      <c r="E3" s="256"/>
      <c r="F3" s="256"/>
      <c r="G3" s="256"/>
      <c r="H3" s="256"/>
      <c r="I3" s="256"/>
      <c r="J3" s="256"/>
      <c r="K3" s="256"/>
      <c r="L3" s="256"/>
      <c r="M3" s="256"/>
      <c r="N3" s="257"/>
      <c r="Q3" s="50"/>
    </row>
    <row r="5" spans="1:30" s="14" customFormat="1" ht="31.2" outlineLevel="1">
      <c r="A5"/>
      <c r="C5" s="110" t="s">
        <v>112</v>
      </c>
      <c r="D5" s="110" t="s">
        <v>123</v>
      </c>
      <c r="E5" s="111" t="s">
        <v>113</v>
      </c>
      <c r="F5" s="111" t="s">
        <v>53</v>
      </c>
      <c r="G5" s="111" t="s">
        <v>54</v>
      </c>
      <c r="H5" s="111" t="s">
        <v>55</v>
      </c>
      <c r="I5" s="111" t="s">
        <v>56</v>
      </c>
      <c r="J5" s="110" t="s">
        <v>149</v>
      </c>
      <c r="K5" s="110" t="s">
        <v>150</v>
      </c>
      <c r="L5" s="110" t="s">
        <v>151</v>
      </c>
      <c r="M5" s="110" t="s">
        <v>152</v>
      </c>
      <c r="N5" s="112" t="s">
        <v>36</v>
      </c>
      <c r="O5"/>
      <c r="P5" s="261" t="s">
        <v>124</v>
      </c>
      <c r="Q5" s="262"/>
      <c r="R5" s="263"/>
      <c r="S5"/>
      <c r="T5"/>
      <c r="U5"/>
      <c r="V5"/>
      <c r="W5"/>
      <c r="X5"/>
      <c r="Y5"/>
      <c r="Z5"/>
      <c r="AA5"/>
      <c r="AB5"/>
      <c r="AC5"/>
      <c r="AD5"/>
    </row>
    <row r="6" spans="1:30" ht="15.6" outlineLevel="1">
      <c r="A6" t="str">
        <f>ENCAISSEMENTS!A12</f>
        <v>oui</v>
      </c>
      <c r="B6" s="121" t="str">
        <f>ENCAISSEMENTS!B12</f>
        <v>INSTALL 1</v>
      </c>
      <c r="C6" s="168" t="str">
        <f>IF(ISBLANK(ENCAISSEMENTS!D12),"",ENCAISSEMENTS!D12)</f>
        <v/>
      </c>
      <c r="D6" s="107"/>
      <c r="E6" s="108"/>
      <c r="F6" s="109"/>
      <c r="G6" s="109"/>
      <c r="H6" s="109"/>
      <c r="I6" s="109"/>
      <c r="J6" s="109"/>
      <c r="K6" s="109"/>
      <c r="L6" s="109"/>
      <c r="M6" s="109"/>
      <c r="N6" s="113">
        <f>SUM(D6:M6)</f>
        <v>0</v>
      </c>
      <c r="O6" s="19"/>
      <c r="P6" s="264" t="s">
        <v>208</v>
      </c>
      <c r="Q6" s="265"/>
      <c r="R6" s="266"/>
    </row>
    <row r="7" spans="1:30" ht="15.6" outlineLevel="1">
      <c r="A7" t="str">
        <f>ENCAISSEMENTS!A13</f>
        <v>oui</v>
      </c>
      <c r="B7" s="121" t="str">
        <f>ENCAISSEMENTS!B13</f>
        <v>INSTALL 2</v>
      </c>
      <c r="C7" s="168" t="str">
        <f>IF(ISBLANK(ENCAISSEMENTS!D13),"",ENCAISSEMENTS!D13)</f>
        <v/>
      </c>
      <c r="D7" s="107"/>
      <c r="E7" s="108"/>
      <c r="F7" s="109"/>
      <c r="G7" s="109"/>
      <c r="H7" s="109"/>
      <c r="I7" s="109"/>
      <c r="J7" s="109"/>
      <c r="K7" s="109"/>
      <c r="L7" s="109"/>
      <c r="M7" s="109"/>
      <c r="N7" s="113">
        <f t="shared" ref="N7:N25" si="0">SUM(D7:M7)</f>
        <v>0</v>
      </c>
      <c r="O7" s="19"/>
      <c r="P7" s="121" t="s">
        <v>90</v>
      </c>
      <c r="Q7" s="267" t="s">
        <v>125</v>
      </c>
      <c r="R7" s="268"/>
    </row>
    <row r="8" spans="1:30" ht="15.6" outlineLevel="1">
      <c r="A8" t="str">
        <f>ENCAISSEMENTS!A14</f>
        <v>oui</v>
      </c>
      <c r="B8" s="121" t="str">
        <f>ENCAISSEMENTS!B14</f>
        <v>INSTALL 3</v>
      </c>
      <c r="C8" s="168" t="str">
        <f>IF(ISBLANK(ENCAISSEMENTS!D14),"",ENCAISSEMENTS!D14)</f>
        <v/>
      </c>
      <c r="D8" s="107"/>
      <c r="E8" s="108"/>
      <c r="F8" s="109"/>
      <c r="G8" s="109"/>
      <c r="H8" s="109"/>
      <c r="I8" s="109"/>
      <c r="J8" s="109"/>
      <c r="K8" s="109"/>
      <c r="L8" s="109"/>
      <c r="M8" s="109"/>
      <c r="N8" s="113">
        <f t="shared" si="0"/>
        <v>0</v>
      </c>
      <c r="O8" s="19"/>
      <c r="P8" s="122"/>
      <c r="Q8" s="269" t="s">
        <v>209</v>
      </c>
      <c r="R8" s="270"/>
    </row>
    <row r="9" spans="1:30" ht="14.4" customHeight="1" outlineLevel="1">
      <c r="A9" t="str">
        <f>ENCAISSEMENTS!A15</f>
        <v>oui</v>
      </c>
      <c r="B9" s="121" t="str">
        <f>ENCAISSEMENTS!B15</f>
        <v>INSTALL 4</v>
      </c>
      <c r="C9" s="168" t="str">
        <f>IF(ISBLANK(ENCAISSEMENTS!D15),"",ENCAISSEMENTS!D15)</f>
        <v/>
      </c>
      <c r="D9" s="107"/>
      <c r="E9" s="108"/>
      <c r="F9" s="109"/>
      <c r="G9" s="109"/>
      <c r="H9" s="109"/>
      <c r="I9" s="109"/>
      <c r="J9" s="109"/>
      <c r="K9" s="109"/>
      <c r="L9" s="109"/>
      <c r="M9" s="109"/>
      <c r="N9" s="113">
        <f t="shared" si="0"/>
        <v>0</v>
      </c>
      <c r="O9" s="19"/>
      <c r="P9" s="121" t="s">
        <v>52</v>
      </c>
      <c r="Q9" s="267" t="s">
        <v>210</v>
      </c>
      <c r="R9" s="268"/>
    </row>
    <row r="10" spans="1:30" ht="15" customHeight="1" outlineLevel="1">
      <c r="A10" t="str">
        <f>ENCAISSEMENTS!A16</f>
        <v>oui</v>
      </c>
      <c r="B10" s="121" t="str">
        <f>ENCAISSEMENTS!B16</f>
        <v>INSTALL 5</v>
      </c>
      <c r="C10" s="168" t="str">
        <f>IF(ISBLANK(ENCAISSEMENTS!D16),"",ENCAISSEMENTS!D16)</f>
        <v/>
      </c>
      <c r="D10" s="107"/>
      <c r="E10" s="108"/>
      <c r="F10" s="109"/>
      <c r="G10" s="109"/>
      <c r="H10" s="109"/>
      <c r="I10" s="109"/>
      <c r="J10" s="109"/>
      <c r="K10" s="109"/>
      <c r="L10" s="109"/>
      <c r="M10" s="109"/>
      <c r="N10" s="113">
        <f t="shared" si="0"/>
        <v>0</v>
      </c>
      <c r="O10" s="19"/>
      <c r="P10" s="122"/>
      <c r="Q10" s="269" t="s">
        <v>198</v>
      </c>
      <c r="R10" s="270"/>
    </row>
    <row r="11" spans="1:30" ht="15.6" outlineLevel="1">
      <c r="A11" t="str">
        <f>ENCAISSEMENTS!A17</f>
        <v>oui</v>
      </c>
      <c r="B11" s="121" t="str">
        <f>ENCAISSEMENTS!B17</f>
        <v>INSTALL 6</v>
      </c>
      <c r="C11" s="168" t="str">
        <f>IF(ISBLANK(ENCAISSEMENTS!D17),"",ENCAISSEMENTS!D17)</f>
        <v/>
      </c>
      <c r="D11" s="107"/>
      <c r="E11" s="108"/>
      <c r="F11" s="109"/>
      <c r="G11" s="109"/>
      <c r="H11" s="109"/>
      <c r="I11" s="109"/>
      <c r="J11" s="109"/>
      <c r="K11" s="109"/>
      <c r="L11" s="109"/>
      <c r="M11" s="109"/>
      <c r="N11" s="113">
        <f t="shared" si="0"/>
        <v>0</v>
      </c>
      <c r="O11" s="19"/>
      <c r="P11" s="121" t="s">
        <v>53</v>
      </c>
      <c r="Q11" s="267" t="s">
        <v>95</v>
      </c>
      <c r="R11" s="268"/>
    </row>
    <row r="12" spans="1:30" ht="15.6" outlineLevel="1">
      <c r="A12" t="str">
        <f>ENCAISSEMENTS!A18</f>
        <v>oui</v>
      </c>
      <c r="B12" s="121" t="str">
        <f>ENCAISSEMENTS!B18</f>
        <v>INSTALL 7</v>
      </c>
      <c r="C12" s="168" t="str">
        <f>IF(ISBLANK(ENCAISSEMENTS!D18),"",ENCAISSEMENTS!D18)</f>
        <v/>
      </c>
      <c r="D12" s="107"/>
      <c r="E12" s="108"/>
      <c r="F12" s="109"/>
      <c r="G12" s="109"/>
      <c r="H12" s="109"/>
      <c r="I12" s="109"/>
      <c r="J12" s="109"/>
      <c r="K12" s="109"/>
      <c r="L12" s="109"/>
      <c r="M12" s="109"/>
      <c r="N12" s="113">
        <f t="shared" si="0"/>
        <v>0</v>
      </c>
      <c r="O12" s="19"/>
      <c r="P12" s="122"/>
      <c r="Q12" s="269" t="s">
        <v>96</v>
      </c>
      <c r="R12" s="270"/>
    </row>
    <row r="13" spans="1:30" ht="15.6" outlineLevel="1">
      <c r="A13" t="str">
        <f>ENCAISSEMENTS!A19</f>
        <v>oui</v>
      </c>
      <c r="B13" s="121" t="str">
        <f>ENCAISSEMENTS!B19</f>
        <v>INSTALL 8</v>
      </c>
      <c r="C13" s="168" t="str">
        <f>IF(ISBLANK(ENCAISSEMENTS!D19),"",ENCAISSEMENTS!D19)</f>
        <v/>
      </c>
      <c r="D13" s="107"/>
      <c r="E13" s="108"/>
      <c r="F13" s="109"/>
      <c r="G13" s="109"/>
      <c r="H13" s="109"/>
      <c r="I13" s="109"/>
      <c r="J13" s="109"/>
      <c r="K13" s="109"/>
      <c r="L13" s="109"/>
      <c r="M13" s="109"/>
      <c r="N13" s="113">
        <f t="shared" si="0"/>
        <v>0</v>
      </c>
      <c r="O13" s="19"/>
      <c r="P13" s="121" t="s">
        <v>54</v>
      </c>
      <c r="Q13" s="267" t="s">
        <v>126</v>
      </c>
      <c r="R13" s="268"/>
    </row>
    <row r="14" spans="1:30" ht="15.6" outlineLevel="1">
      <c r="A14" t="str">
        <f>ENCAISSEMENTS!A20</f>
        <v>oui</v>
      </c>
      <c r="B14" s="121" t="str">
        <f>ENCAISSEMENTS!B20</f>
        <v>INSTALL 9</v>
      </c>
      <c r="C14" s="168" t="str">
        <f>IF(ISBLANK(ENCAISSEMENTS!D20),"",ENCAISSEMENTS!D20)</f>
        <v/>
      </c>
      <c r="D14" s="107"/>
      <c r="E14" s="108"/>
      <c r="F14" s="109"/>
      <c r="G14" s="109"/>
      <c r="H14" s="109"/>
      <c r="I14" s="109"/>
      <c r="J14" s="109"/>
      <c r="K14" s="109"/>
      <c r="L14" s="109"/>
      <c r="M14" s="109"/>
      <c r="N14" s="113">
        <f t="shared" si="0"/>
        <v>0</v>
      </c>
      <c r="O14" s="19"/>
      <c r="P14" s="122"/>
      <c r="Q14" s="269" t="s">
        <v>97</v>
      </c>
      <c r="R14" s="270"/>
    </row>
    <row r="15" spans="1:30" ht="15.6" outlineLevel="1">
      <c r="A15" t="str">
        <f>ENCAISSEMENTS!A21</f>
        <v>non</v>
      </c>
      <c r="B15" s="121" t="str">
        <f>ENCAISSEMENTS!B21</f>
        <v>INSTALL 10</v>
      </c>
      <c r="C15" s="168" t="str">
        <f>IF(ISBLANK(ENCAISSEMENTS!D21),"",ENCAISSEMENTS!D21)</f>
        <v/>
      </c>
      <c r="D15" s="107"/>
      <c r="E15" s="108"/>
      <c r="F15" s="109"/>
      <c r="G15" s="109"/>
      <c r="H15" s="109"/>
      <c r="I15" s="109"/>
      <c r="J15" s="109"/>
      <c r="K15" s="109"/>
      <c r="L15" s="109"/>
      <c r="M15" s="109"/>
      <c r="N15" s="113">
        <f t="shared" si="0"/>
        <v>0</v>
      </c>
      <c r="O15" s="19"/>
      <c r="P15" s="121" t="s">
        <v>55</v>
      </c>
      <c r="Q15" s="267" t="s">
        <v>98</v>
      </c>
      <c r="R15" s="268"/>
    </row>
    <row r="16" spans="1:30" ht="14.4" customHeight="1" outlineLevel="1">
      <c r="A16" t="str">
        <f>ENCAISSEMENTS!A22</f>
        <v>non</v>
      </c>
      <c r="B16" s="121" t="str">
        <f>ENCAISSEMENTS!B22</f>
        <v>INSTALL 11</v>
      </c>
      <c r="C16" s="168" t="str">
        <f>IF(ISBLANK(ENCAISSEMENTS!D22),"",ENCAISSEMENTS!D22)</f>
        <v/>
      </c>
      <c r="D16" s="107"/>
      <c r="E16" s="108"/>
      <c r="F16" s="109"/>
      <c r="G16" s="109"/>
      <c r="H16" s="109"/>
      <c r="I16" s="109"/>
      <c r="J16" s="109"/>
      <c r="K16" s="109"/>
      <c r="L16" s="109"/>
      <c r="M16" s="109"/>
      <c r="N16" s="113">
        <f t="shared" si="0"/>
        <v>0</v>
      </c>
      <c r="O16" s="19"/>
      <c r="P16" s="122"/>
      <c r="Q16" s="269" t="s">
        <v>156</v>
      </c>
      <c r="R16" s="270"/>
    </row>
    <row r="17" spans="1:18" ht="15" customHeight="1" outlineLevel="1">
      <c r="A17" t="str">
        <f>ENCAISSEMENTS!A23</f>
        <v>non</v>
      </c>
      <c r="B17" s="121" t="str">
        <f>ENCAISSEMENTS!B23</f>
        <v>INSTALL 12</v>
      </c>
      <c r="C17" s="168" t="str">
        <f>IF(ISBLANK(ENCAISSEMENTS!D23),"",ENCAISSEMENTS!D23)</f>
        <v/>
      </c>
      <c r="D17" s="107"/>
      <c r="E17" s="108"/>
      <c r="F17" s="109"/>
      <c r="G17" s="109"/>
      <c r="H17" s="109"/>
      <c r="I17" s="109"/>
      <c r="J17" s="109"/>
      <c r="K17" s="109"/>
      <c r="L17" s="109"/>
      <c r="M17" s="109"/>
      <c r="N17" s="113">
        <f t="shared" si="0"/>
        <v>0</v>
      </c>
      <c r="O17" s="19"/>
      <c r="P17" s="121" t="s">
        <v>56</v>
      </c>
      <c r="Q17" s="267" t="s">
        <v>153</v>
      </c>
      <c r="R17" s="268"/>
    </row>
    <row r="18" spans="1:18" ht="15.6" outlineLevel="1">
      <c r="A18" t="str">
        <f>ENCAISSEMENTS!A24</f>
        <v>non</v>
      </c>
      <c r="B18" s="121" t="str">
        <f>ENCAISSEMENTS!B24</f>
        <v>INSTALL 13</v>
      </c>
      <c r="C18" s="168" t="str">
        <f>IF(ISBLANK(ENCAISSEMENTS!D24),"",ENCAISSEMENTS!D24)</f>
        <v/>
      </c>
      <c r="D18" s="107"/>
      <c r="E18" s="108"/>
      <c r="F18" s="109"/>
      <c r="G18" s="109"/>
      <c r="H18" s="109"/>
      <c r="I18" s="109"/>
      <c r="J18" s="109"/>
      <c r="K18" s="109"/>
      <c r="L18" s="109"/>
      <c r="M18" s="109"/>
      <c r="N18" s="113">
        <f t="shared" si="0"/>
        <v>0</v>
      </c>
      <c r="O18" s="19"/>
      <c r="P18" s="122"/>
      <c r="Q18" s="269" t="s">
        <v>211</v>
      </c>
      <c r="R18" s="270"/>
    </row>
    <row r="19" spans="1:18" ht="15" customHeight="1" outlineLevel="1">
      <c r="A19" t="str">
        <f>ENCAISSEMENTS!A25</f>
        <v>non</v>
      </c>
      <c r="B19" s="121" t="str">
        <f>ENCAISSEMENTS!B25</f>
        <v>INSTALL 14</v>
      </c>
      <c r="C19" s="168" t="str">
        <f>IF(ISBLANK(ENCAISSEMENTS!D25),"",ENCAISSEMENTS!D25)</f>
        <v/>
      </c>
      <c r="D19" s="107"/>
      <c r="E19" s="108"/>
      <c r="F19" s="109"/>
      <c r="G19" s="109"/>
      <c r="H19" s="109"/>
      <c r="I19" s="109"/>
      <c r="J19" s="109"/>
      <c r="K19" s="109"/>
      <c r="L19" s="109"/>
      <c r="M19" s="109"/>
      <c r="N19" s="113">
        <f t="shared" si="0"/>
        <v>0</v>
      </c>
      <c r="O19" s="19"/>
      <c r="P19" s="121" t="s">
        <v>63</v>
      </c>
      <c r="Q19" s="267" t="s">
        <v>127</v>
      </c>
      <c r="R19" s="268"/>
    </row>
    <row r="20" spans="1:18" ht="15.6" outlineLevel="1">
      <c r="A20" t="str">
        <f>ENCAISSEMENTS!A26</f>
        <v>non</v>
      </c>
      <c r="B20" s="121" t="str">
        <f>ENCAISSEMENTS!B26</f>
        <v>INSTALL 15</v>
      </c>
      <c r="C20" s="168" t="str">
        <f>IF(ISBLANK(ENCAISSEMENTS!D26),"",ENCAISSEMENTS!D26)</f>
        <v/>
      </c>
      <c r="D20" s="107"/>
      <c r="E20" s="108"/>
      <c r="F20" s="109"/>
      <c r="G20" s="109"/>
      <c r="H20" s="109"/>
      <c r="I20" s="109"/>
      <c r="J20" s="109"/>
      <c r="K20" s="109"/>
      <c r="L20" s="109"/>
      <c r="M20" s="109"/>
      <c r="N20" s="113">
        <f t="shared" si="0"/>
        <v>0</v>
      </c>
      <c r="O20" s="19"/>
      <c r="P20" s="123"/>
      <c r="Q20" s="269" t="s">
        <v>136</v>
      </c>
      <c r="R20" s="270"/>
    </row>
    <row r="21" spans="1:18" ht="15.6" outlineLevel="1">
      <c r="A21" t="str">
        <f>ENCAISSEMENTS!A27</f>
        <v>non</v>
      </c>
      <c r="B21" s="121" t="str">
        <f>ENCAISSEMENTS!B27</f>
        <v>INSTALL 16</v>
      </c>
      <c r="C21" s="168" t="str">
        <f>IF(ISBLANK(ENCAISSEMENTS!D27),"",ENCAISSEMENTS!D27)</f>
        <v/>
      </c>
      <c r="D21" s="107"/>
      <c r="E21" s="108"/>
      <c r="F21" s="109"/>
      <c r="G21" s="109"/>
      <c r="H21" s="109"/>
      <c r="I21" s="109"/>
      <c r="J21" s="109"/>
      <c r="K21" s="109"/>
      <c r="L21" s="109"/>
      <c r="M21" s="109"/>
      <c r="N21" s="113">
        <f t="shared" si="0"/>
        <v>0</v>
      </c>
      <c r="O21" s="19"/>
      <c r="P21" s="271" t="s">
        <v>99</v>
      </c>
      <c r="Q21" s="267" t="s">
        <v>100</v>
      </c>
      <c r="R21" s="268"/>
    </row>
    <row r="22" spans="1:18" ht="15.6" outlineLevel="1">
      <c r="A22" t="str">
        <f>ENCAISSEMENTS!A28</f>
        <v>non</v>
      </c>
      <c r="B22" s="121" t="str">
        <f>ENCAISSEMENTS!B28</f>
        <v>INSTALL 17</v>
      </c>
      <c r="C22" s="168" t="str">
        <f>IF(ISBLANK(ENCAISSEMENTS!D28),"",ENCAISSEMENTS!D28)</f>
        <v/>
      </c>
      <c r="D22" s="107"/>
      <c r="E22" s="108"/>
      <c r="F22" s="109"/>
      <c r="G22" s="109"/>
      <c r="H22" s="109"/>
      <c r="I22" s="109"/>
      <c r="J22" s="109"/>
      <c r="K22" s="109"/>
      <c r="L22" s="109"/>
      <c r="M22" s="109"/>
      <c r="N22" s="113">
        <f t="shared" si="0"/>
        <v>0</v>
      </c>
      <c r="O22" s="19"/>
      <c r="P22" s="272"/>
      <c r="Q22" s="269" t="s">
        <v>199</v>
      </c>
      <c r="R22" s="270"/>
    </row>
    <row r="23" spans="1:18" ht="15.6" outlineLevel="1">
      <c r="A23" t="str">
        <f>ENCAISSEMENTS!A29</f>
        <v>non</v>
      </c>
      <c r="B23" s="121" t="str">
        <f>ENCAISSEMENTS!B29</f>
        <v>INSTALL 18</v>
      </c>
      <c r="C23" s="168" t="str">
        <f>IF(ISBLANK(ENCAISSEMENTS!D29),"",ENCAISSEMENTS!D29)</f>
        <v/>
      </c>
      <c r="D23" s="107"/>
      <c r="E23" s="108"/>
      <c r="F23" s="109"/>
      <c r="G23" s="109"/>
      <c r="H23" s="109"/>
      <c r="I23" s="109"/>
      <c r="J23" s="109"/>
      <c r="K23" s="109"/>
      <c r="L23" s="109"/>
      <c r="M23" s="109"/>
      <c r="N23" s="113">
        <f t="shared" si="0"/>
        <v>0</v>
      </c>
      <c r="O23" s="19"/>
      <c r="P23" s="121" t="s">
        <v>154</v>
      </c>
      <c r="Q23" s="267" t="s">
        <v>155</v>
      </c>
      <c r="R23" s="268"/>
    </row>
    <row r="24" spans="1:18" ht="15.6" outlineLevel="1">
      <c r="A24" t="str">
        <f>ENCAISSEMENTS!A30</f>
        <v>non</v>
      </c>
      <c r="B24" s="121" t="str">
        <f>ENCAISSEMENTS!B30</f>
        <v>INSTALL 19</v>
      </c>
      <c r="C24" s="168" t="str">
        <f>IF(ISBLANK(ENCAISSEMENTS!D30),"",ENCAISSEMENTS!D30)</f>
        <v/>
      </c>
      <c r="D24" s="107"/>
      <c r="E24" s="108"/>
      <c r="F24" s="109"/>
      <c r="G24" s="109"/>
      <c r="H24" s="109"/>
      <c r="I24" s="109"/>
      <c r="J24" s="109"/>
      <c r="K24" s="109"/>
      <c r="L24" s="109"/>
      <c r="M24" s="109"/>
      <c r="N24" s="113">
        <f t="shared" si="0"/>
        <v>0</v>
      </c>
      <c r="O24" s="19"/>
      <c r="P24" s="125"/>
      <c r="Q24" s="269" t="s">
        <v>200</v>
      </c>
      <c r="R24" s="270"/>
    </row>
    <row r="25" spans="1:18" ht="14.4" customHeight="1" outlineLevel="1" thickBot="1">
      <c r="A25" t="str">
        <f>ENCAISSEMENTS!A31</f>
        <v>non</v>
      </c>
      <c r="B25" s="121" t="str">
        <f>ENCAISSEMENTS!B31</f>
        <v>INSTALL 20</v>
      </c>
      <c r="C25" s="168" t="str">
        <f>IF(ISBLANK(ENCAISSEMENTS!D31),"",ENCAISSEMENTS!D31)</f>
        <v/>
      </c>
      <c r="D25" s="107"/>
      <c r="E25" s="108"/>
      <c r="F25" s="109"/>
      <c r="G25" s="109"/>
      <c r="H25" s="109"/>
      <c r="I25" s="109"/>
      <c r="J25" s="109"/>
      <c r="K25" s="109"/>
      <c r="L25" s="109"/>
      <c r="M25" s="109"/>
      <c r="N25" s="113">
        <f t="shared" si="0"/>
        <v>0</v>
      </c>
      <c r="O25" s="19"/>
    </row>
    <row r="26" spans="1:18" ht="18.600000000000001" outlineLevel="1" thickBot="1">
      <c r="A26" s="290" t="s">
        <v>118</v>
      </c>
      <c r="B26" s="291"/>
      <c r="C26" s="292"/>
      <c r="D26" s="116">
        <f>SUMPRODUCT(D6:D25,ENCAISSEMENTS!$AC$12:$AC$31)</f>
        <v>0</v>
      </c>
      <c r="E26" s="116">
        <f>SUMPRODUCT(E6:E25,ENCAISSEMENTS!$AC$12:$AC$31)</f>
        <v>0</v>
      </c>
      <c r="F26" s="116">
        <f>SUMPRODUCT(F6:F25,ENCAISSEMENTS!$AC$12:$AC$31)</f>
        <v>0</v>
      </c>
      <c r="G26" s="116">
        <f>SUMPRODUCT(G6:G25,ENCAISSEMENTS!$AC$12:$AC$31)</f>
        <v>0</v>
      </c>
      <c r="H26" s="116">
        <f>SUMPRODUCT(H6:H25,ENCAISSEMENTS!$AC$12:$AC$31)</f>
        <v>0</v>
      </c>
      <c r="I26" s="116">
        <f>SUMPRODUCT(I6:I25,ENCAISSEMENTS!$AC$12:$AC$31)</f>
        <v>0</v>
      </c>
      <c r="J26" s="116">
        <f>SUMPRODUCT(J6:J25,ENCAISSEMENTS!$AC$12:$AC$31)</f>
        <v>0</v>
      </c>
      <c r="K26" s="116">
        <f>SUMPRODUCT(K6:K25,ENCAISSEMENTS!$AC$12:$AC$31)</f>
        <v>0</v>
      </c>
      <c r="L26" s="116">
        <f>SUMPRODUCT(L6:L25,ENCAISSEMENTS!$AC$12:$AC$31)</f>
        <v>0</v>
      </c>
      <c r="M26" s="116">
        <f>SUMPRODUCT(M6:M25,ENCAISSEMENTS!$AC$12:$AC$31)</f>
        <v>0</v>
      </c>
      <c r="N26" s="117">
        <f>SUM(D26:M26)</f>
        <v>0</v>
      </c>
    </row>
    <row r="28" spans="1:18" ht="15" thickBot="1"/>
    <row r="29" spans="1:18" ht="26.4" thickBot="1">
      <c r="A29" s="258" t="s">
        <v>92</v>
      </c>
      <c r="B29" s="259"/>
      <c r="C29" s="259"/>
      <c r="D29" s="259"/>
      <c r="E29" s="259"/>
      <c r="F29" s="259"/>
      <c r="G29" s="259"/>
      <c r="H29" s="259"/>
      <c r="I29" s="259"/>
      <c r="J29" s="259"/>
      <c r="K29" s="259"/>
      <c r="L29" s="259"/>
      <c r="M29" s="259"/>
      <c r="N29" s="260"/>
      <c r="P29" s="273" t="s">
        <v>94</v>
      </c>
      <c r="Q29" s="274"/>
      <c r="R29" s="277" t="s">
        <v>212</v>
      </c>
    </row>
    <row r="30" spans="1:18" ht="21" customHeight="1" thickBot="1">
      <c r="A30" s="152"/>
      <c r="B30" s="152"/>
      <c r="C30" s="152"/>
      <c r="D30" s="152"/>
      <c r="E30" s="152"/>
      <c r="F30" s="152"/>
      <c r="G30" s="152"/>
      <c r="H30" s="152"/>
      <c r="I30" s="152"/>
      <c r="J30" s="152"/>
      <c r="K30" s="152"/>
      <c r="L30" s="152"/>
      <c r="M30" s="152"/>
      <c r="N30" s="152"/>
      <c r="P30" s="275"/>
      <c r="Q30" s="276"/>
      <c r="R30" s="278"/>
    </row>
    <row r="31" spans="1:18" ht="26.4" thickBot="1">
      <c r="A31" s="293" t="s">
        <v>226</v>
      </c>
      <c r="B31" s="294"/>
      <c r="C31" s="294"/>
      <c r="D31" s="294"/>
      <c r="E31" s="294"/>
      <c r="F31" s="294"/>
      <c r="G31" s="295"/>
      <c r="H31" s="152"/>
      <c r="I31" s="152"/>
      <c r="J31" s="152"/>
      <c r="K31" s="152"/>
      <c r="L31" s="152"/>
      <c r="M31" s="152"/>
      <c r="N31" s="152"/>
      <c r="P31" s="121" t="s">
        <v>64</v>
      </c>
      <c r="Q31" s="127" t="s">
        <v>137</v>
      </c>
      <c r="R31" s="128">
        <v>1500</v>
      </c>
    </row>
    <row r="32" spans="1:18" ht="15.6">
      <c r="P32" s="121" t="s">
        <v>104</v>
      </c>
      <c r="Q32" s="127" t="s">
        <v>106</v>
      </c>
      <c r="R32" s="128">
        <v>250</v>
      </c>
    </row>
    <row r="33" spans="1:23" ht="31.2">
      <c r="C33" s="110" t="s">
        <v>141</v>
      </c>
      <c r="D33" s="110" t="s">
        <v>143</v>
      </c>
      <c r="E33" s="160" t="s">
        <v>144</v>
      </c>
      <c r="F33" s="160" t="s">
        <v>142</v>
      </c>
      <c r="G33" s="119" t="s">
        <v>36</v>
      </c>
      <c r="J33" s="77"/>
      <c r="K33" s="77"/>
      <c r="L33" s="77"/>
      <c r="P33" s="124" t="s">
        <v>145</v>
      </c>
      <c r="Q33" s="127" t="s">
        <v>213</v>
      </c>
      <c r="R33" s="128">
        <v>45</v>
      </c>
    </row>
    <row r="34" spans="1:23" ht="18">
      <c r="B34" s="153" t="s">
        <v>227</v>
      </c>
      <c r="C34" s="157">
        <v>1500</v>
      </c>
      <c r="D34" s="157">
        <v>250</v>
      </c>
      <c r="E34" s="157">
        <v>45</v>
      </c>
      <c r="F34" s="158">
        <v>500</v>
      </c>
      <c r="G34" s="159">
        <f>SUM(C34:F34)</f>
        <v>2295</v>
      </c>
      <c r="J34" s="78"/>
      <c r="K34" s="78"/>
      <c r="L34" s="79"/>
      <c r="P34" s="126" t="s">
        <v>105</v>
      </c>
      <c r="Q34" s="129" t="s">
        <v>138</v>
      </c>
      <c r="R34" s="130">
        <v>500</v>
      </c>
    </row>
    <row r="35" spans="1:23" s="11" customFormat="1" ht="29.4" thickBot="1">
      <c r="A35"/>
      <c r="B35"/>
      <c r="C35"/>
      <c r="D35"/>
      <c r="E35"/>
      <c r="F35"/>
      <c r="G35"/>
      <c r="H35"/>
      <c r="I35"/>
      <c r="J35"/>
      <c r="K35"/>
      <c r="L35"/>
      <c r="M35"/>
      <c r="N35"/>
      <c r="O35"/>
      <c r="P35" s="121" t="s">
        <v>101</v>
      </c>
      <c r="Q35" s="131" t="s">
        <v>214</v>
      </c>
      <c r="R35" s="128"/>
      <c r="S35"/>
      <c r="T35"/>
      <c r="U35"/>
      <c r="V35"/>
      <c r="W35"/>
    </row>
    <row r="36" spans="1:23" ht="21.6" thickBot="1">
      <c r="A36" s="154" t="s">
        <v>228</v>
      </c>
      <c r="B36" s="155"/>
      <c r="C36" s="155"/>
      <c r="D36" s="155"/>
      <c r="E36" s="155"/>
      <c r="F36" s="155"/>
      <c r="G36" s="155"/>
      <c r="H36" s="155"/>
      <c r="I36" s="155"/>
      <c r="J36" s="155"/>
      <c r="K36" s="155"/>
      <c r="L36" s="155"/>
      <c r="M36" s="156"/>
      <c r="P36" s="123"/>
      <c r="Q36" s="132" t="s">
        <v>215</v>
      </c>
      <c r="R36" s="133">
        <v>300</v>
      </c>
    </row>
    <row r="37" spans="1:23" ht="31.2">
      <c r="B37" s="11"/>
      <c r="C37" s="169" t="s">
        <v>233</v>
      </c>
      <c r="D37" s="110" t="s">
        <v>57</v>
      </c>
      <c r="E37" s="110" t="s">
        <v>58</v>
      </c>
      <c r="F37" s="110" t="s">
        <v>59</v>
      </c>
      <c r="G37" s="160" t="s">
        <v>60</v>
      </c>
      <c r="H37" s="110" t="s">
        <v>35</v>
      </c>
      <c r="I37" s="110" t="s">
        <v>139</v>
      </c>
      <c r="J37" s="110" t="s">
        <v>56</v>
      </c>
      <c r="K37" s="110" t="s">
        <v>140</v>
      </c>
      <c r="L37" s="110" t="s">
        <v>172</v>
      </c>
      <c r="M37" s="161" t="s">
        <v>36</v>
      </c>
      <c r="N37" s="11"/>
      <c r="P37" s="123"/>
      <c r="Q37" s="134" t="s">
        <v>216</v>
      </c>
      <c r="R37" s="135">
        <v>500</v>
      </c>
    </row>
    <row r="38" spans="1:23" ht="15.6">
      <c r="A38" t="str">
        <f>ENCAISSEMENTS!A12</f>
        <v>oui</v>
      </c>
      <c r="B38" s="1" t="str">
        <f>B6</f>
        <v>INSTALL 1</v>
      </c>
      <c r="C38" s="168" t="str">
        <f>IF(A38="non","",IF(ISBLANK(ENCAISSEMENTS!E12),"",IF(ENCAISSEMENTS!E12&lt;=36,"[0-36 kVA]",IF(AND(ENCAISSEMENTS!E12&gt;36,ENCAISSEMENTS!E12&lt;=100),"[0-100 kVA]",IF(AND(ENCAISSEMENTS!E12&gt;100,ENCAISSEMENTS!E12&lt;=250),"[100-250 kVA]","[&gt;250 kVA]")))))</f>
        <v/>
      </c>
      <c r="D38" s="13">
        <f>ENCAISSEMENTS!C12</f>
        <v>0</v>
      </c>
      <c r="E38" s="109"/>
      <c r="F38" s="109"/>
      <c r="G38" s="109"/>
      <c r="H38" s="80" t="str">
        <f>IF(ENCAISSEMENTS!E12&gt;250,$R$47,IF(ENCAISSEMENTS!E12&gt;36,$R$46,IF(ENCAISSEMENTS!E12&gt;0,$R$45,"")))</f>
        <v/>
      </c>
      <c r="I38" s="80">
        <f>IF(OR(C38="[100-250 kVA]",C38="[&gt;250 kVA]"),ENCAISSEMENTS!E12*$R$49,0)</f>
        <v>0</v>
      </c>
      <c r="J38" s="118"/>
      <c r="K38" s="118"/>
      <c r="L38" s="118"/>
      <c r="M38" s="170">
        <f>SUM(E38:L38)</f>
        <v>0</v>
      </c>
      <c r="P38" s="121" t="s">
        <v>102</v>
      </c>
      <c r="Q38" s="211" t="s">
        <v>256</v>
      </c>
      <c r="R38" s="136"/>
    </row>
    <row r="39" spans="1:23" ht="15.6">
      <c r="A39" t="str">
        <f>ENCAISSEMENTS!A13</f>
        <v>oui</v>
      </c>
      <c r="B39" s="1" t="str">
        <f t="shared" ref="B39:B57" si="1">B7</f>
        <v>INSTALL 2</v>
      </c>
      <c r="C39" s="168" t="str">
        <f>IF(A39="non","",IF(ISBLANK(ENCAISSEMENTS!E13),"",IF(ENCAISSEMENTS!E13&lt;=36,"[0-36 kVA]",IF(AND(ENCAISSEMENTS!E13&gt;36,ENCAISSEMENTS!E13&lt;=100),"[0-100 kVA]",IF(AND(ENCAISSEMENTS!E13&gt;100,ENCAISSEMENTS!E13&lt;=250),"[100-250 kVA]","[&gt;250 kVA]")))))</f>
        <v/>
      </c>
      <c r="D39" s="13">
        <f>ENCAISSEMENTS!C13</f>
        <v>0</v>
      </c>
      <c r="E39" s="109"/>
      <c r="F39" s="109"/>
      <c r="G39" s="109"/>
      <c r="H39" s="80" t="str">
        <f>IF(ENCAISSEMENTS!E13&gt;250,$R$47,IF(ENCAISSEMENTS!E13&gt;36,$R$46,IF(ENCAISSEMENTS!E13&gt;0,$R$45,"")))</f>
        <v/>
      </c>
      <c r="I39" s="80">
        <f>IF(OR(C39="[100-250 kVA]",C39="[&gt;250 kVA]"),ENCAISSEMENTS!E13*$R$49,0)</f>
        <v>0</v>
      </c>
      <c r="J39" s="118"/>
      <c r="K39" s="118"/>
      <c r="L39" s="118"/>
      <c r="M39" s="170">
        <f t="shared" ref="M39:M56" si="2">SUM(E39:L39)</f>
        <v>0</v>
      </c>
      <c r="P39" s="123"/>
      <c r="Q39" s="132" t="s">
        <v>217</v>
      </c>
      <c r="R39" s="137">
        <v>300</v>
      </c>
    </row>
    <row r="40" spans="1:23" ht="15.6">
      <c r="A40" t="str">
        <f>ENCAISSEMENTS!A14</f>
        <v>oui</v>
      </c>
      <c r="B40" s="1" t="str">
        <f t="shared" si="1"/>
        <v>INSTALL 3</v>
      </c>
      <c r="C40" s="168" t="str">
        <f>IF(A40="non","",IF(ISBLANK(ENCAISSEMENTS!E14),"",IF(ENCAISSEMENTS!E14&lt;=36,"[0-36 kVA]",IF(AND(ENCAISSEMENTS!E14&gt;36,ENCAISSEMENTS!E14&lt;=100),"[0-100 kVA]",IF(AND(ENCAISSEMENTS!E14&gt;100,ENCAISSEMENTS!E14&lt;=250),"[100-250 kVA]","[&gt;250 kVA]")))))</f>
        <v/>
      </c>
      <c r="D40" s="13">
        <f>ENCAISSEMENTS!C14</f>
        <v>0</v>
      </c>
      <c r="E40" s="109"/>
      <c r="F40" s="109"/>
      <c r="G40" s="109"/>
      <c r="H40" s="80" t="str">
        <f>IF(ENCAISSEMENTS!E14&gt;250,$R$47,IF(ENCAISSEMENTS!E14&gt;36,$R$46,IF(ENCAISSEMENTS!E14&gt;0,$R$45,"")))</f>
        <v/>
      </c>
      <c r="I40" s="80">
        <f>IF(OR(C40="[100-250 kVA]",C40="[&gt;250 kVA]"),ENCAISSEMENTS!E14*$R$49,0)</f>
        <v>0</v>
      </c>
      <c r="J40" s="118"/>
      <c r="K40" s="118"/>
      <c r="L40" s="118"/>
      <c r="M40" s="170">
        <f t="shared" si="2"/>
        <v>0</v>
      </c>
      <c r="P40" s="138"/>
      <c r="Q40" s="132" t="s">
        <v>218</v>
      </c>
      <c r="R40" s="137">
        <v>700</v>
      </c>
    </row>
    <row r="41" spans="1:23" ht="15.6">
      <c r="A41" t="str">
        <f>ENCAISSEMENTS!A15</f>
        <v>oui</v>
      </c>
      <c r="B41" s="1" t="str">
        <f t="shared" si="1"/>
        <v>INSTALL 4</v>
      </c>
      <c r="C41" s="168" t="str">
        <f>IF(A41="non","",IF(ISBLANK(ENCAISSEMENTS!E15),"",IF(ENCAISSEMENTS!E15&lt;=36,"[0-36 kVA]",IF(AND(ENCAISSEMENTS!E15&gt;36,ENCAISSEMENTS!E15&lt;=100),"[0-100 kVA]",IF(AND(ENCAISSEMENTS!E15&gt;100,ENCAISSEMENTS!E15&lt;=250),"[100-250 kVA]","[&gt;250 kVA]")))))</f>
        <v/>
      </c>
      <c r="D41" s="13">
        <f>ENCAISSEMENTS!C15</f>
        <v>0</v>
      </c>
      <c r="E41" s="109"/>
      <c r="F41" s="109"/>
      <c r="G41" s="109"/>
      <c r="H41" s="80" t="str">
        <f>IF(ENCAISSEMENTS!E15&gt;250,$R$47,IF(ENCAISSEMENTS!E15&gt;36,$R$46,IF(ENCAISSEMENTS!E15&gt;0,$R$45,"")))</f>
        <v/>
      </c>
      <c r="I41" s="80">
        <f>IF(OR(C41="[100-250 kVA]",C41="[&gt;250 kVA]"),ENCAISSEMENTS!E15*$R$49,0)</f>
        <v>0</v>
      </c>
      <c r="J41" s="118"/>
      <c r="K41" s="118"/>
      <c r="L41" s="118"/>
      <c r="M41" s="170">
        <f t="shared" si="2"/>
        <v>0</v>
      </c>
      <c r="P41" s="125"/>
      <c r="Q41" s="139" t="s">
        <v>219</v>
      </c>
      <c r="R41" s="140">
        <v>1500</v>
      </c>
    </row>
    <row r="42" spans="1:23" ht="15.6">
      <c r="A42" t="str">
        <f>ENCAISSEMENTS!A16</f>
        <v>oui</v>
      </c>
      <c r="B42" s="1" t="str">
        <f t="shared" si="1"/>
        <v>INSTALL 5</v>
      </c>
      <c r="C42" s="168" t="str">
        <f>IF(A42="non","",IF(ISBLANK(ENCAISSEMENTS!E16),"",IF(ENCAISSEMENTS!E16&lt;=36,"[0-36 kVA]",IF(AND(ENCAISSEMENTS!E16&gt;36,ENCAISSEMENTS!E16&lt;=100),"[0-100 kVA]",IF(AND(ENCAISSEMENTS!E16&gt;100,ENCAISSEMENTS!E16&lt;=250),"[100-250 kVA]","[&gt;250 kVA]")))))</f>
        <v/>
      </c>
      <c r="D42" s="13">
        <f>ENCAISSEMENTS!C16</f>
        <v>0</v>
      </c>
      <c r="E42" s="109"/>
      <c r="F42" s="109"/>
      <c r="G42" s="109"/>
      <c r="H42" s="80" t="str">
        <f>IF(ENCAISSEMENTS!E16&gt;250,$R$47,IF(ENCAISSEMENTS!E16&gt;36,$R$46,IF(ENCAISSEMENTS!E16&gt;0,$R$45,"")))</f>
        <v/>
      </c>
      <c r="I42" s="80">
        <f>IF(OR(C42="[100-250 kVA]",C42="[&gt;250 kVA]"),ENCAISSEMENTS!E16*$R$49,0)</f>
        <v>0</v>
      </c>
      <c r="J42" s="118"/>
      <c r="K42" s="118"/>
      <c r="L42" s="118"/>
      <c r="M42" s="170">
        <f t="shared" si="2"/>
        <v>0</v>
      </c>
      <c r="P42" s="121" t="s">
        <v>103</v>
      </c>
      <c r="Q42" s="46" t="s">
        <v>114</v>
      </c>
      <c r="R42" s="46"/>
    </row>
    <row r="43" spans="1:23" ht="15.6">
      <c r="A43" t="str">
        <f>ENCAISSEMENTS!A17</f>
        <v>oui</v>
      </c>
      <c r="B43" s="1" t="str">
        <f t="shared" si="1"/>
        <v>INSTALL 6</v>
      </c>
      <c r="C43" s="168" t="str">
        <f>IF(A43="non","",IF(ISBLANK(ENCAISSEMENTS!E17),"",IF(ENCAISSEMENTS!E17&lt;=36,"[0-36 kVA]",IF(AND(ENCAISSEMENTS!E17&gt;36,ENCAISSEMENTS!E17&lt;=100),"[0-100 kVA]",IF(AND(ENCAISSEMENTS!E17&gt;100,ENCAISSEMENTS!E17&lt;=250),"[100-250 kVA]","[&gt;250 kVA]")))))</f>
        <v/>
      </c>
      <c r="D43" s="13">
        <f>ENCAISSEMENTS!C17</f>
        <v>0</v>
      </c>
      <c r="E43" s="109"/>
      <c r="F43" s="109"/>
      <c r="G43" s="109"/>
      <c r="H43" s="80" t="str">
        <f>IF(ENCAISSEMENTS!E17&gt;250,$R$47,IF(ENCAISSEMENTS!E17&gt;36,$R$46,IF(ENCAISSEMENTS!E17&gt;0,$R$45,"")))</f>
        <v/>
      </c>
      <c r="I43" s="80">
        <f>IF(OR(C43="[100-250 kVA]",C43="[&gt;250 kVA]"),ENCAISSEMENTS!E17*$R$49,0)</f>
        <v>0</v>
      </c>
      <c r="J43" s="118"/>
      <c r="K43" s="118"/>
      <c r="L43" s="118"/>
      <c r="M43" s="170">
        <f t="shared" si="2"/>
        <v>0</v>
      </c>
      <c r="P43" s="123"/>
      <c r="Q43" s="47" t="s">
        <v>186</v>
      </c>
      <c r="R43" s="47"/>
    </row>
    <row r="44" spans="1:23" ht="15.6">
      <c r="A44" t="str">
        <f>ENCAISSEMENTS!A18</f>
        <v>oui</v>
      </c>
      <c r="B44" s="1" t="str">
        <f t="shared" si="1"/>
        <v>INSTALL 7</v>
      </c>
      <c r="C44" s="168" t="str">
        <f>IF(A44="non","",IF(ISBLANK(ENCAISSEMENTS!E18),"",IF(ENCAISSEMENTS!E18&lt;=36,"[0-36 kVA]",IF(AND(ENCAISSEMENTS!E18&gt;36,ENCAISSEMENTS!E18&lt;=100),"[0-100 kVA]",IF(AND(ENCAISSEMENTS!E18&gt;100,ENCAISSEMENTS!E18&lt;=250),"[100-250 kVA]","[&gt;250 kVA]")))))</f>
        <v/>
      </c>
      <c r="D44" s="13">
        <f>ENCAISSEMENTS!C18</f>
        <v>0</v>
      </c>
      <c r="E44" s="109"/>
      <c r="F44" s="109"/>
      <c r="G44" s="109"/>
      <c r="H44" s="80" t="str">
        <f>IF(ENCAISSEMENTS!E18&gt;250,$R$47,IF(ENCAISSEMENTS!E18&gt;36,$R$46,IF(ENCAISSEMENTS!E18&gt;0,$R$45,"")))</f>
        <v/>
      </c>
      <c r="I44" s="80">
        <f>IF(OR(C44="[100-250 kVA]",C44="[&gt;250 kVA]"),ENCAISSEMENTS!E18*$R$49,0)</f>
        <v>0</v>
      </c>
      <c r="J44" s="118"/>
      <c r="K44" s="118"/>
      <c r="L44" s="118"/>
      <c r="M44" s="170">
        <f t="shared" si="2"/>
        <v>0</v>
      </c>
      <c r="P44" s="121" t="s">
        <v>35</v>
      </c>
      <c r="Q44" s="141" t="s">
        <v>251</v>
      </c>
      <c r="R44" s="142" t="s">
        <v>220</v>
      </c>
    </row>
    <row r="45" spans="1:23" ht="15.6">
      <c r="A45" t="str">
        <f>ENCAISSEMENTS!A19</f>
        <v>oui</v>
      </c>
      <c r="B45" s="1" t="str">
        <f t="shared" si="1"/>
        <v>INSTALL 8</v>
      </c>
      <c r="C45" s="168" t="str">
        <f>IF(A45="non","",IF(ISBLANK(ENCAISSEMENTS!E19),"",IF(ENCAISSEMENTS!E19&lt;=36,"[0-36 kVA]",IF(AND(ENCAISSEMENTS!E19&gt;36,ENCAISSEMENTS!E19&lt;=100),"[0-100 kVA]",IF(AND(ENCAISSEMENTS!E19&gt;100,ENCAISSEMENTS!E19&lt;=250),"[100-250 kVA]","[&gt;250 kVA]")))))</f>
        <v/>
      </c>
      <c r="D45" s="13">
        <f>ENCAISSEMENTS!C19</f>
        <v>0</v>
      </c>
      <c r="E45" s="109"/>
      <c r="F45" s="109"/>
      <c r="G45" s="109"/>
      <c r="H45" s="80" t="str">
        <f>IF(ENCAISSEMENTS!E19&gt;250,$R$47,IF(ENCAISSEMENTS!E19&gt;36,$R$46,IF(ENCAISSEMENTS!E19&gt;0,$R$45,"")))</f>
        <v/>
      </c>
      <c r="I45" s="80">
        <f>IF(OR(C45="[100-250 kVA]",C45="[&gt;250 kVA]"),ENCAISSEMENTS!E19*$R$49,0)</f>
        <v>0</v>
      </c>
      <c r="J45" s="118"/>
      <c r="K45" s="118"/>
      <c r="L45" s="118"/>
      <c r="M45" s="170">
        <f t="shared" si="2"/>
        <v>0</v>
      </c>
      <c r="P45" s="123"/>
      <c r="Q45" s="143" t="s">
        <v>221</v>
      </c>
      <c r="R45" s="144">
        <f>18.24+22.44</f>
        <v>40.68</v>
      </c>
    </row>
    <row r="46" spans="1:23" ht="15.6">
      <c r="A46" t="str">
        <f>ENCAISSEMENTS!A20</f>
        <v>oui</v>
      </c>
      <c r="B46" s="1" t="str">
        <f t="shared" si="1"/>
        <v>INSTALL 9</v>
      </c>
      <c r="C46" s="168" t="str">
        <f>IF(A46="non","",IF(ISBLANK(ENCAISSEMENTS!E20),"",IF(ENCAISSEMENTS!E20&lt;=36,"[0-36 kVA]",IF(AND(ENCAISSEMENTS!E20&gt;36,ENCAISSEMENTS!E20&lt;=100),"[0-100 kVA]",IF(AND(ENCAISSEMENTS!E20&gt;100,ENCAISSEMENTS!E20&lt;=250),"[100-250 kVA]","[&gt;250 kVA]")))))</f>
        <v/>
      </c>
      <c r="D46" s="13">
        <f>ENCAISSEMENTS!C20</f>
        <v>0</v>
      </c>
      <c r="E46" s="109"/>
      <c r="F46" s="109"/>
      <c r="G46" s="109"/>
      <c r="H46" s="80" t="str">
        <f>IF(ENCAISSEMENTS!E20&gt;250,$R$47,IF(ENCAISSEMENTS!E20&gt;36,$R$46,IF(ENCAISSEMENTS!E20&gt;0,$R$45,"")))</f>
        <v/>
      </c>
      <c r="I46" s="80">
        <f>IF(OR(C46="[100-250 kVA]",C46="[&gt;250 kVA]"),ENCAISSEMENTS!E20*$R$49,0)</f>
        <v>0</v>
      </c>
      <c r="J46" s="118"/>
      <c r="K46" s="118"/>
      <c r="L46" s="118"/>
      <c r="M46" s="170">
        <f t="shared" si="2"/>
        <v>0</v>
      </c>
      <c r="P46" s="138"/>
      <c r="Q46" s="143" t="s">
        <v>222</v>
      </c>
      <c r="R46" s="144">
        <f>252.36+288.84</f>
        <v>541.20000000000005</v>
      </c>
    </row>
    <row r="47" spans="1:23" ht="15.6">
      <c r="A47" t="str">
        <f>ENCAISSEMENTS!A21</f>
        <v>non</v>
      </c>
      <c r="B47" s="1" t="str">
        <f t="shared" si="1"/>
        <v>INSTALL 10</v>
      </c>
      <c r="C47" s="168" t="str">
        <f>IF(A47="non","",IF(ISBLANK(ENCAISSEMENTS!E21),"",IF(ENCAISSEMENTS!E21&lt;=36,"[0-36 kVA]",IF(AND(ENCAISSEMENTS!E21&gt;36,ENCAISSEMENTS!E21&lt;=100),"[0-100 kVA]",IF(AND(ENCAISSEMENTS!E21&gt;100,ENCAISSEMENTS!E21&lt;=250),"[100-250 kVA]","[&gt;250 kVA]")))))</f>
        <v/>
      </c>
      <c r="D47" s="13">
        <f>ENCAISSEMENTS!C21</f>
        <v>0</v>
      </c>
      <c r="E47" s="109"/>
      <c r="F47" s="109"/>
      <c r="G47" s="109"/>
      <c r="H47" s="80" t="str">
        <f>IF(ENCAISSEMENTS!E21&gt;250,$R$47,IF(ENCAISSEMENTS!E21&gt;36,$R$46,IF(ENCAISSEMENTS!E21&gt;0,$R$45,"")))</f>
        <v/>
      </c>
      <c r="I47" s="80">
        <f>IF(OR(C47="[100-250 kVA]",C47="[&gt;250 kVA]"),ENCAISSEMENTS!E21*$R$49,0)</f>
        <v>0</v>
      </c>
      <c r="J47" s="118"/>
      <c r="K47" s="118"/>
      <c r="L47" s="118"/>
      <c r="M47" s="170">
        <f t="shared" si="2"/>
        <v>0</v>
      </c>
      <c r="P47" s="125"/>
      <c r="Q47" s="145" t="s">
        <v>223</v>
      </c>
      <c r="R47" s="140">
        <f>504.84+383.76</f>
        <v>888.59999999999991</v>
      </c>
    </row>
    <row r="48" spans="1:23" ht="15.6" customHeight="1">
      <c r="A48" t="str">
        <f>ENCAISSEMENTS!A22</f>
        <v>non</v>
      </c>
      <c r="B48" s="1" t="str">
        <f t="shared" si="1"/>
        <v>INSTALL 11</v>
      </c>
      <c r="C48" s="168" t="str">
        <f>IF(A48="non","",IF(ISBLANK(ENCAISSEMENTS!E22),"",IF(ENCAISSEMENTS!E22&lt;=36,"[0-36 kVA]",IF(AND(ENCAISSEMENTS!E22&gt;36,ENCAISSEMENTS!E22&lt;=100),"[0-100 kVA]",IF(AND(ENCAISSEMENTS!E22&gt;100,ENCAISSEMENTS!E22&lt;=250),"[100-250 kVA]","[&gt;250 kVA]")))))</f>
        <v/>
      </c>
      <c r="D48" s="13">
        <f>ENCAISSEMENTS!C22</f>
        <v>0</v>
      </c>
      <c r="E48" s="109"/>
      <c r="F48" s="109"/>
      <c r="G48" s="109"/>
      <c r="H48" s="80" t="str">
        <f>IF(ENCAISSEMENTS!E22&gt;250,$R$47,IF(ENCAISSEMENTS!E22&gt;36,$R$46,IF(ENCAISSEMENTS!E22&gt;0,$R$45,"")))</f>
        <v/>
      </c>
      <c r="I48" s="80">
        <f>IF(OR(C48="[100-250 kVA]",C48="[&gt;250 kVA]"),ENCAISSEMENTS!E22*$R$49,0)</f>
        <v>0</v>
      </c>
      <c r="J48" s="118"/>
      <c r="K48" s="118"/>
      <c r="L48" s="118"/>
      <c r="M48" s="170">
        <f t="shared" si="2"/>
        <v>0</v>
      </c>
      <c r="P48" s="121" t="s">
        <v>139</v>
      </c>
      <c r="Q48" s="141" t="s">
        <v>187</v>
      </c>
      <c r="R48" s="172"/>
    </row>
    <row r="49" spans="1:18" ht="15.6">
      <c r="A49" t="str">
        <f>ENCAISSEMENTS!A23</f>
        <v>non</v>
      </c>
      <c r="B49" s="1" t="str">
        <f t="shared" si="1"/>
        <v>INSTALL 12</v>
      </c>
      <c r="C49" s="168" t="str">
        <f>IF(A49="non","",IF(ISBLANK(ENCAISSEMENTS!E23),"",IF(ENCAISSEMENTS!E23&lt;=36,"[0-36 kVA]",IF(AND(ENCAISSEMENTS!E23&gt;36,ENCAISSEMENTS!E23&lt;=100),"[0-100 kVA]",IF(AND(ENCAISSEMENTS!E23&gt;100,ENCAISSEMENTS!E23&lt;=250),"[100-250 kVA]","[&gt;250 kVA]")))))</f>
        <v/>
      </c>
      <c r="D49" s="13">
        <f>ENCAISSEMENTS!C23</f>
        <v>0</v>
      </c>
      <c r="E49" s="109"/>
      <c r="F49" s="109"/>
      <c r="G49" s="109"/>
      <c r="H49" s="80" t="str">
        <f>IF(ENCAISSEMENTS!E23&gt;250,$R$47,IF(ENCAISSEMENTS!E23&gt;36,$R$46,IF(ENCAISSEMENTS!E23&gt;0,$R$45,"")))</f>
        <v/>
      </c>
      <c r="I49" s="80">
        <f>IF(OR(C49="[100-250 kVA]",C49="[&gt;250 kVA]"),ENCAISSEMENTS!E23*$R$49,0)</f>
        <v>0</v>
      </c>
      <c r="J49" s="118"/>
      <c r="K49" s="118"/>
      <c r="L49" s="118"/>
      <c r="M49" s="170">
        <f t="shared" si="2"/>
        <v>0</v>
      </c>
      <c r="P49" s="122"/>
      <c r="Q49" s="145" t="s">
        <v>234</v>
      </c>
      <c r="R49" s="171">
        <v>3.4790000000000001</v>
      </c>
    </row>
    <row r="50" spans="1:18" ht="15.6">
      <c r="A50" t="str">
        <f>ENCAISSEMENTS!A24</f>
        <v>non</v>
      </c>
      <c r="B50" s="1" t="str">
        <f t="shared" si="1"/>
        <v>INSTALL 13</v>
      </c>
      <c r="C50" s="168" t="str">
        <f>IF(A50="non","",IF(ISBLANK(ENCAISSEMENTS!E24),"",IF(ENCAISSEMENTS!E24&lt;=36,"[0-36 kVA]",IF(AND(ENCAISSEMENTS!E24&gt;36,ENCAISSEMENTS!E24&lt;=100),"[0-100 kVA]",IF(AND(ENCAISSEMENTS!E24&gt;100,ENCAISSEMENTS!E24&lt;=250),"[100-250 kVA]","[&gt;250 kVA]")))))</f>
        <v/>
      </c>
      <c r="D50" s="13">
        <f>ENCAISSEMENTS!C24</f>
        <v>0</v>
      </c>
      <c r="E50" s="109"/>
      <c r="F50" s="109"/>
      <c r="G50" s="109"/>
      <c r="H50" s="80" t="str">
        <f>IF(ENCAISSEMENTS!E24&gt;250,$R$47,IF(ENCAISSEMENTS!E24&gt;36,$R$46,IF(ENCAISSEMENTS!E24&gt;0,$R$45,"")))</f>
        <v/>
      </c>
      <c r="I50" s="80">
        <f>IF(OR(C50="[100-250 kVA]",C50="[&gt;250 kVA]"),ENCAISSEMENTS!E24*$R$49,0)</f>
        <v>0</v>
      </c>
      <c r="J50" s="118"/>
      <c r="K50" s="118"/>
      <c r="L50" s="118"/>
      <c r="M50" s="170">
        <f t="shared" si="2"/>
        <v>0</v>
      </c>
      <c r="P50" s="121" t="s">
        <v>146</v>
      </c>
      <c r="Q50" s="46" t="s">
        <v>224</v>
      </c>
      <c r="R50" s="46"/>
    </row>
    <row r="51" spans="1:18" ht="15.6">
      <c r="A51" t="str">
        <f>ENCAISSEMENTS!A25</f>
        <v>non</v>
      </c>
      <c r="B51" s="1" t="str">
        <f t="shared" si="1"/>
        <v>INSTALL 14</v>
      </c>
      <c r="C51" s="168" t="str">
        <f>IF(A51="non","",IF(ISBLANK(ENCAISSEMENTS!E25),"",IF(ENCAISSEMENTS!E25&lt;=36,"[0-36 kVA]",IF(AND(ENCAISSEMENTS!E25&gt;36,ENCAISSEMENTS!E25&lt;=100),"[0-100 kVA]",IF(AND(ENCAISSEMENTS!E25&gt;100,ENCAISSEMENTS!E25&lt;=250),"[100-250 kVA]","[&gt;250 kVA]")))))</f>
        <v/>
      </c>
      <c r="D51" s="13">
        <f>ENCAISSEMENTS!C25</f>
        <v>0</v>
      </c>
      <c r="E51" s="109"/>
      <c r="F51" s="109"/>
      <c r="G51" s="109"/>
      <c r="H51" s="80" t="str">
        <f>IF(ENCAISSEMENTS!E25&gt;250,$R$47,IF(ENCAISSEMENTS!E25&gt;36,$R$46,IF(ENCAISSEMENTS!E25&gt;0,$R$45,"")))</f>
        <v/>
      </c>
      <c r="I51" s="80">
        <f>IF(OR(C51="[100-250 kVA]",C51="[&gt;250 kVA]"),ENCAISSEMENTS!E25*$R$49,0)</f>
        <v>0</v>
      </c>
      <c r="J51" s="118"/>
      <c r="K51" s="118"/>
      <c r="L51" s="118"/>
      <c r="M51" s="170">
        <f t="shared" si="2"/>
        <v>0</v>
      </c>
      <c r="P51" s="123"/>
      <c r="Q51" s="47" t="s">
        <v>147</v>
      </c>
      <c r="R51" s="47"/>
    </row>
    <row r="52" spans="1:18" ht="15.6">
      <c r="A52" t="str">
        <f>ENCAISSEMENTS!A26</f>
        <v>non</v>
      </c>
      <c r="B52" s="1" t="str">
        <f t="shared" si="1"/>
        <v>INSTALL 15</v>
      </c>
      <c r="C52" s="168" t="str">
        <f>IF(A52="non","",IF(ISBLANK(ENCAISSEMENTS!E26),"",IF(ENCAISSEMENTS!E26&lt;=36,"[0-36 kVA]",IF(AND(ENCAISSEMENTS!E26&gt;36,ENCAISSEMENTS!E26&lt;=100),"[0-100 kVA]",IF(AND(ENCAISSEMENTS!E26&gt;100,ENCAISSEMENTS!E26&lt;=250),"[100-250 kVA]","[&gt;250 kVA]")))))</f>
        <v/>
      </c>
      <c r="D52" s="13">
        <f>ENCAISSEMENTS!C26</f>
        <v>0</v>
      </c>
      <c r="E52" s="109"/>
      <c r="F52" s="109"/>
      <c r="G52" s="109"/>
      <c r="H52" s="80" t="str">
        <f>IF(ENCAISSEMENTS!E26&gt;250,$R$47,IF(ENCAISSEMENTS!E26&gt;36,$R$46,IF(ENCAISSEMENTS!E26&gt;0,$R$45,"")))</f>
        <v/>
      </c>
      <c r="I52" s="80">
        <f>IF(OR(C52="[100-250 kVA]",C52="[&gt;250 kVA]"),ENCAISSEMENTS!E26*$R$49,0)</f>
        <v>0</v>
      </c>
      <c r="J52" s="118"/>
      <c r="K52" s="118"/>
      <c r="L52" s="118"/>
      <c r="M52" s="170">
        <f t="shared" si="2"/>
        <v>0</v>
      </c>
      <c r="P52" s="279" t="s">
        <v>148</v>
      </c>
      <c r="Q52" s="281" t="s">
        <v>225</v>
      </c>
      <c r="R52" s="282"/>
    </row>
    <row r="53" spans="1:18" ht="15.6">
      <c r="A53" t="str">
        <f>ENCAISSEMENTS!A27</f>
        <v>non</v>
      </c>
      <c r="B53" s="1" t="str">
        <f t="shared" si="1"/>
        <v>INSTALL 16</v>
      </c>
      <c r="C53" s="168" t="str">
        <f>IF(A53="non","",IF(ISBLANK(ENCAISSEMENTS!E27),"",IF(ENCAISSEMENTS!E27&lt;=36,"[0-36 kVA]",IF(AND(ENCAISSEMENTS!E27&gt;36,ENCAISSEMENTS!E27&lt;=100),"[0-100 kVA]",IF(AND(ENCAISSEMENTS!E27&gt;100,ENCAISSEMENTS!E27&lt;=250),"[100-250 kVA]","[&gt;250 kVA]")))))</f>
        <v/>
      </c>
      <c r="D53" s="13">
        <f>ENCAISSEMENTS!C27</f>
        <v>0</v>
      </c>
      <c r="E53" s="109"/>
      <c r="F53" s="109"/>
      <c r="G53" s="109"/>
      <c r="H53" s="80" t="str">
        <f>IF(ENCAISSEMENTS!E27&gt;250,$R$47,IF(ENCAISSEMENTS!E27&gt;36,$R$46,IF(ENCAISSEMENTS!E27&gt;0,$R$45,"")))</f>
        <v/>
      </c>
      <c r="I53" s="80">
        <f>IF(OR(C53="[100-250 kVA]",C53="[&gt;250 kVA]"),ENCAISSEMENTS!E27*$R$49,0)</f>
        <v>0</v>
      </c>
      <c r="J53" s="118"/>
      <c r="K53" s="118"/>
      <c r="L53" s="118"/>
      <c r="M53" s="170">
        <f t="shared" si="2"/>
        <v>0</v>
      </c>
      <c r="P53" s="280"/>
      <c r="Q53" s="283"/>
      <c r="R53" s="284"/>
    </row>
    <row r="54" spans="1:18" ht="15.6">
      <c r="A54" t="str">
        <f>ENCAISSEMENTS!A28</f>
        <v>non</v>
      </c>
      <c r="B54" s="1" t="str">
        <f t="shared" si="1"/>
        <v>INSTALL 17</v>
      </c>
      <c r="C54" s="168" t="str">
        <f>IF(A54="non","",IF(ISBLANK(ENCAISSEMENTS!E28),"",IF(ENCAISSEMENTS!E28&lt;=36,"[0-36 kVA]",IF(AND(ENCAISSEMENTS!E28&gt;36,ENCAISSEMENTS!E28&lt;=100),"[0-100 kVA]",IF(AND(ENCAISSEMENTS!E28&gt;100,ENCAISSEMENTS!E28&lt;=250),"[100-250 kVA]","[&gt;250 kVA]")))))</f>
        <v/>
      </c>
      <c r="D54" s="13">
        <f>ENCAISSEMENTS!C28</f>
        <v>0</v>
      </c>
      <c r="E54" s="109"/>
      <c r="F54" s="109"/>
      <c r="G54" s="109"/>
      <c r="H54" s="80" t="str">
        <f>IF(ENCAISSEMENTS!E28&gt;250,$R$47,IF(ENCAISSEMENTS!E28&gt;36,$R$46,IF(ENCAISSEMENTS!E28&gt;0,$R$45,"")))</f>
        <v/>
      </c>
      <c r="I54" s="80">
        <f>IF(OR(C54="[100-250 kVA]",C54="[&gt;250 kVA]"),ENCAISSEMENTS!E28*$R$49,0)</f>
        <v>0</v>
      </c>
      <c r="J54" s="118"/>
      <c r="K54" s="118"/>
      <c r="L54" s="118"/>
      <c r="M54" s="170">
        <f t="shared" si="2"/>
        <v>0</v>
      </c>
      <c r="P54" s="280"/>
      <c r="Q54" s="283"/>
      <c r="R54" s="284"/>
    </row>
    <row r="55" spans="1:18" ht="15.6">
      <c r="A55" t="str">
        <f>ENCAISSEMENTS!A29</f>
        <v>non</v>
      </c>
      <c r="B55" s="1" t="str">
        <f t="shared" si="1"/>
        <v>INSTALL 18</v>
      </c>
      <c r="C55" s="168" t="str">
        <f>IF(A55="non","",IF(ISBLANK(ENCAISSEMENTS!E29),"",IF(ENCAISSEMENTS!E29&lt;=36,"[0-36 kVA]",IF(AND(ENCAISSEMENTS!E29&gt;36,ENCAISSEMENTS!E29&lt;=100),"[0-100 kVA]",IF(AND(ENCAISSEMENTS!E29&gt;100,ENCAISSEMENTS!E29&lt;=250),"[100-250 kVA]","[&gt;250 kVA]")))))</f>
        <v/>
      </c>
      <c r="D55" s="13">
        <f>ENCAISSEMENTS!C29</f>
        <v>0</v>
      </c>
      <c r="E55" s="109"/>
      <c r="F55" s="109"/>
      <c r="G55" s="109"/>
      <c r="H55" s="80" t="str">
        <f>IF(ENCAISSEMENTS!E29&gt;250,$R$47,IF(ENCAISSEMENTS!E29&gt;36,$R$46,IF(ENCAISSEMENTS!E29&gt;0,$R$45,"")))</f>
        <v/>
      </c>
      <c r="I55" s="80">
        <f>IF(OR(C55="[100-250 kVA]",C55="[&gt;250 kVA]"),ENCAISSEMENTS!E29*$R$49,0)</f>
        <v>0</v>
      </c>
      <c r="J55" s="118"/>
      <c r="K55" s="118"/>
      <c r="L55" s="118"/>
      <c r="M55" s="170">
        <f t="shared" si="2"/>
        <v>0</v>
      </c>
      <c r="P55" s="280"/>
      <c r="Q55" s="283"/>
      <c r="R55" s="284"/>
    </row>
    <row r="56" spans="1:18" ht="15.6">
      <c r="A56" t="str">
        <f>ENCAISSEMENTS!A30</f>
        <v>non</v>
      </c>
      <c r="B56" s="1" t="str">
        <f t="shared" si="1"/>
        <v>INSTALL 19</v>
      </c>
      <c r="C56" s="168" t="str">
        <f>IF(A56="non","",IF(ISBLANK(ENCAISSEMENTS!E30),"",IF(ENCAISSEMENTS!E30&lt;=36,"[0-36 kVA]",IF(AND(ENCAISSEMENTS!E30&gt;36,ENCAISSEMENTS!E30&lt;=100),"[0-100 kVA]",IF(AND(ENCAISSEMENTS!E30&gt;100,ENCAISSEMENTS!E30&lt;=250),"[100-250 kVA]","[&gt;250 kVA]")))))</f>
        <v/>
      </c>
      <c r="D56" s="13">
        <f>ENCAISSEMENTS!C30</f>
        <v>0</v>
      </c>
      <c r="E56" s="109"/>
      <c r="F56" s="109"/>
      <c r="G56" s="109"/>
      <c r="H56" s="80" t="str">
        <f>IF(ENCAISSEMENTS!E30&gt;250,$R$47,IF(ENCAISSEMENTS!E30&gt;36,$R$46,IF(ENCAISSEMENTS!E30&gt;0,$R$45,"")))</f>
        <v/>
      </c>
      <c r="I56" s="80">
        <f>IF(OR(C56="[100-250 kVA]",C56="[&gt;250 kVA]"),ENCAISSEMENTS!E30*$R$49,0)</f>
        <v>0</v>
      </c>
      <c r="J56" s="118"/>
      <c r="K56" s="118"/>
      <c r="L56" s="118"/>
      <c r="M56" s="170">
        <f t="shared" si="2"/>
        <v>0</v>
      </c>
      <c r="P56" s="121" t="s">
        <v>173</v>
      </c>
      <c r="Q56" s="281" t="s">
        <v>174</v>
      </c>
      <c r="R56" s="148"/>
    </row>
    <row r="57" spans="1:18" ht="16.2" thickBot="1">
      <c r="A57" t="str">
        <f>ENCAISSEMENTS!A31</f>
        <v>non</v>
      </c>
      <c r="B57" s="1" t="str">
        <f t="shared" si="1"/>
        <v>INSTALL 20</v>
      </c>
      <c r="C57" s="168" t="str">
        <f>IF(A57="non","",IF(ISBLANK(ENCAISSEMENTS!E31),"",IF(ENCAISSEMENTS!E31&lt;=36,"[0-36 kVA]",IF(AND(ENCAISSEMENTS!E31&gt;36,ENCAISSEMENTS!E31&lt;=100),"[0-100 kVA]",IF(AND(ENCAISSEMENTS!E31&gt;100,ENCAISSEMENTS!E31&lt;=250),"[100-250 kVA]","[&gt;250 kVA]")))))</f>
        <v/>
      </c>
      <c r="D57" s="13">
        <f>ENCAISSEMENTS!C31</f>
        <v>0</v>
      </c>
      <c r="E57" s="109"/>
      <c r="F57" s="109"/>
      <c r="G57" s="109"/>
      <c r="H57" s="80" t="str">
        <f>IF(ENCAISSEMENTS!E31&gt;250,$R$47,IF(ENCAISSEMENTS!E31&gt;36,$R$46,IF(ENCAISSEMENTS!E31&gt;0,$R$45,"")))</f>
        <v/>
      </c>
      <c r="I57" s="80">
        <f>IF(OR(C57="[100-250 kVA]",C57="[&gt;250 kVA]"),ENCAISSEMENTS!E31*$R$49,0)</f>
        <v>0</v>
      </c>
      <c r="J57" s="118"/>
      <c r="K57" s="118"/>
      <c r="L57" s="118"/>
      <c r="M57" s="170">
        <f>SUM(E57:K57)</f>
        <v>0</v>
      </c>
      <c r="P57" s="138"/>
      <c r="Q57" s="283"/>
      <c r="R57" s="149"/>
    </row>
    <row r="58" spans="1:18" ht="18.600000000000001" thickBot="1">
      <c r="A58" s="114" t="s">
        <v>118</v>
      </c>
      <c r="B58" s="115"/>
      <c r="C58" s="167"/>
      <c r="D58" s="116">
        <f>SUMPRODUCT(D38:D57,ENCAISSEMENTS!$AC$12:$AC$31)</f>
        <v>0</v>
      </c>
      <c r="E58" s="116">
        <f>SUMPRODUCT(E38:E57,ENCAISSEMENTS!$AC$12:$AC$31)</f>
        <v>0</v>
      </c>
      <c r="F58" s="116">
        <f>SUMPRODUCT(F38:F57,ENCAISSEMENTS!$AC$12:$AC$31)</f>
        <v>0</v>
      </c>
      <c r="G58" s="116">
        <f>SUMPRODUCT(G38:G57,ENCAISSEMENTS!$AC$12:$AC$31)</f>
        <v>0</v>
      </c>
      <c r="H58" s="116">
        <f>SUMPRODUCT(H38:H57,ENCAISSEMENTS!$AC$12:$AC$31)</f>
        <v>0</v>
      </c>
      <c r="I58" s="116">
        <f>SUMPRODUCT(I38:I57,ENCAISSEMENTS!$AC$12:$AC$31)</f>
        <v>0</v>
      </c>
      <c r="J58" s="116">
        <f>SUMPRODUCT(J38:J57,ENCAISSEMENTS!$AC$12:$AC$31)</f>
        <v>0</v>
      </c>
      <c r="K58" s="116">
        <f>SUMPRODUCT(K38:K57,ENCAISSEMENTS!$AC$12:$AC$31)</f>
        <v>0</v>
      </c>
      <c r="L58" s="116">
        <f>SUMPRODUCT(L38:L57,ENCAISSEMENTS!$AC$12:$AC$31)</f>
        <v>0</v>
      </c>
      <c r="M58" s="120">
        <f>SUM(E58:L58)</f>
        <v>0</v>
      </c>
      <c r="P58" s="123"/>
      <c r="Q58" s="151" t="s">
        <v>215</v>
      </c>
      <c r="R58" s="137">
        <v>200</v>
      </c>
    </row>
    <row r="59" spans="1:18" ht="15" thickBot="1">
      <c r="P59" s="125"/>
      <c r="Q59" s="147" t="s">
        <v>216</v>
      </c>
      <c r="R59" s="150">
        <v>600</v>
      </c>
    </row>
    <row r="60" spans="1:18" ht="26.4" thickBot="1">
      <c r="A60" s="258" t="s">
        <v>129</v>
      </c>
      <c r="B60" s="259"/>
      <c r="C60" s="259"/>
      <c r="D60" s="259"/>
      <c r="E60" s="259"/>
      <c r="F60" s="259"/>
      <c r="G60" s="259"/>
      <c r="H60" s="259"/>
      <c r="I60" s="259"/>
      <c r="J60" s="259"/>
      <c r="K60" s="259"/>
      <c r="L60" s="259"/>
      <c r="M60" s="259"/>
      <c r="N60" s="260"/>
    </row>
    <row r="62" spans="1:18" ht="18">
      <c r="H62" s="162" t="s">
        <v>230</v>
      </c>
      <c r="I62" s="163"/>
      <c r="J62" s="163"/>
      <c r="K62" s="163"/>
      <c r="L62" s="163"/>
      <c r="M62" s="163"/>
      <c r="N62" s="164"/>
    </row>
    <row r="63" spans="1:18">
      <c r="B63" s="296" t="s">
        <v>50</v>
      </c>
      <c r="C63" s="297"/>
      <c r="D63" s="1" t="s">
        <v>93</v>
      </c>
      <c r="E63" s="12"/>
      <c r="F63" s="166">
        <v>400</v>
      </c>
      <c r="H63" s="165" t="s">
        <v>115</v>
      </c>
      <c r="I63" s="141"/>
      <c r="J63" s="141"/>
      <c r="K63" s="141"/>
      <c r="L63" s="141"/>
      <c r="M63" s="141"/>
      <c r="N63" s="46"/>
    </row>
    <row r="64" spans="1:18">
      <c r="B64" s="296" t="s">
        <v>50</v>
      </c>
      <c r="C64" s="297"/>
      <c r="D64" s="1" t="s">
        <v>38</v>
      </c>
      <c r="E64" s="12"/>
      <c r="F64" s="166">
        <v>400</v>
      </c>
      <c r="H64" s="146" t="s">
        <v>231</v>
      </c>
      <c r="N64" s="47"/>
    </row>
    <row r="65" spans="2:14">
      <c r="B65" s="296" t="s">
        <v>51</v>
      </c>
      <c r="C65" s="297"/>
      <c r="D65" s="1" t="s">
        <v>49</v>
      </c>
      <c r="E65" s="12"/>
      <c r="F65" s="333">
        <f>0.7*I26</f>
        <v>0</v>
      </c>
      <c r="H65" s="146" t="s">
        <v>232</v>
      </c>
      <c r="N65" s="47"/>
    </row>
    <row r="66" spans="2:14">
      <c r="B66" s="296" t="s">
        <v>131</v>
      </c>
      <c r="C66" s="297"/>
      <c r="D66" s="1" t="s">
        <v>130</v>
      </c>
      <c r="E66" s="12"/>
      <c r="F66" s="334">
        <f>IF(K26&gt;0,0,SUMIFS(D6:D25,C38:C57,"[0-36 kVA]")*0.14*0.7+SUMIFS(D6:D25,C38:C57,"[36-100 kVA]")*0.12*0.7+SUMIFS(D6:D25,C38:C57,"[100-250 kVA]")*0.08*0.7)</f>
        <v>0</v>
      </c>
      <c r="H66" s="285" t="s">
        <v>258</v>
      </c>
      <c r="I66" s="234"/>
      <c r="J66" s="234"/>
      <c r="K66" s="234"/>
      <c r="L66" s="234"/>
      <c r="M66" s="234"/>
      <c r="N66" s="286"/>
    </row>
    <row r="67" spans="2:14">
      <c r="B67" s="296" t="s">
        <v>229</v>
      </c>
      <c r="C67" s="297"/>
      <c r="D67" s="1" t="s">
        <v>130</v>
      </c>
      <c r="E67" s="12"/>
      <c r="F67" s="334">
        <f>SUMIFS(D6:D25,C38:C57,"[0-36 kVA]")*0.14*0.5+SUMIFS(D6:D25,C38:C57,"[36-100 kVA]")*0.12*0.5+SUMIFS(D6:D25,C38:C57,"[100-250 kVA]")*0.08*0.5</f>
        <v>0</v>
      </c>
      <c r="H67" s="287"/>
      <c r="I67" s="288"/>
      <c r="J67" s="288"/>
      <c r="K67" s="288"/>
      <c r="L67" s="288"/>
      <c r="M67" s="288"/>
      <c r="N67" s="289"/>
    </row>
  </sheetData>
  <mergeCells count="38">
    <mergeCell ref="Q56:Q57"/>
    <mergeCell ref="A60:N60"/>
    <mergeCell ref="H66:N67"/>
    <mergeCell ref="A26:C26"/>
    <mergeCell ref="A31:G31"/>
    <mergeCell ref="B63:C63"/>
    <mergeCell ref="B64:C64"/>
    <mergeCell ref="B65:C65"/>
    <mergeCell ref="B66:C66"/>
    <mergeCell ref="B67:C67"/>
    <mergeCell ref="Q23:R23"/>
    <mergeCell ref="Q24:R24"/>
    <mergeCell ref="P29:Q30"/>
    <mergeCell ref="R29:R30"/>
    <mergeCell ref="P52:P55"/>
    <mergeCell ref="Q52:R55"/>
    <mergeCell ref="Q18:R18"/>
    <mergeCell ref="Q19:R19"/>
    <mergeCell ref="Q20:R20"/>
    <mergeCell ref="P21:P22"/>
    <mergeCell ref="Q21:R21"/>
    <mergeCell ref="Q22:R22"/>
    <mergeCell ref="A1:N1"/>
    <mergeCell ref="A3:N3"/>
    <mergeCell ref="A29:N29"/>
    <mergeCell ref="P5:R5"/>
    <mergeCell ref="P6:R6"/>
    <mergeCell ref="Q7:R7"/>
    <mergeCell ref="Q8:R8"/>
    <mergeCell ref="Q9:R9"/>
    <mergeCell ref="Q10:R10"/>
    <mergeCell ref="Q11:R11"/>
    <mergeCell ref="Q12:R12"/>
    <mergeCell ref="Q13:R13"/>
    <mergeCell ref="Q14:R14"/>
    <mergeCell ref="Q15:R15"/>
    <mergeCell ref="Q16:R16"/>
    <mergeCell ref="Q17:R17"/>
  </mergeCells>
  <phoneticPr fontId="42" type="noConversion"/>
  <conditionalFormatting sqref="A4:A5 A27:A28 A59 A61:A1048576">
    <cfRule type="cellIs" dxfId="15" priority="10" operator="equal">
      <formula>"oui"</formula>
    </cfRule>
  </conditionalFormatting>
  <conditionalFormatting sqref="A6:A25">
    <cfRule type="cellIs" dxfId="14" priority="5" operator="equal">
      <formula>"NON"</formula>
    </cfRule>
    <cfRule type="cellIs" dxfId="13" priority="6" operator="equal">
      <formula>"Oui"</formula>
    </cfRule>
  </conditionalFormatting>
  <conditionalFormatting sqref="A31:A37">
    <cfRule type="cellIs" dxfId="12" priority="1" operator="equal">
      <formula>"oui"</formula>
    </cfRule>
  </conditionalFormatting>
  <conditionalFormatting sqref="A38:A57">
    <cfRule type="cellIs" dxfId="11" priority="3" operator="equal">
      <formula>"NON"</formula>
    </cfRule>
    <cfRule type="cellIs" dxfId="10" priority="4" operator="equal">
      <formula>"Oui"</formula>
    </cfRule>
  </conditionalFormatting>
  <printOptions horizontalCentered="1" verticalCentered="1"/>
  <pageMargins left="0.47244094488188981" right="0.39370078740157483" top="0.74803149606299213" bottom="0.74803149606299213" header="0.31496062992125984" footer="0.31496062992125984"/>
  <pageSetup paperSize="9" scale="54" fitToWidth="2" fitToHeight="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C65"/>
  <sheetViews>
    <sheetView showGridLines="0" topLeftCell="A51" zoomScale="85" zoomScaleNormal="85" workbookViewId="0">
      <pane xSplit="1" topLeftCell="B1" activePane="topRight" state="frozen"/>
      <selection pane="topRight" activeCell="V15" sqref="V15"/>
    </sheetView>
  </sheetViews>
  <sheetFormatPr baseColWidth="10" defaultColWidth="11.5546875" defaultRowHeight="16.95" customHeight="1" outlineLevelCol="1"/>
  <cols>
    <col min="1" max="1" width="25.21875" style="2" customWidth="1"/>
    <col min="2" max="2" width="12.88671875" style="2" customWidth="1"/>
    <col min="3" max="3" width="12.109375" style="2" customWidth="1"/>
    <col min="4" max="4" width="12.6640625" style="2" customWidth="1"/>
    <col min="5" max="5" width="8.44140625" style="2" customWidth="1"/>
    <col min="6" max="6" width="10.6640625" style="2" customWidth="1"/>
    <col min="7" max="11" width="8.44140625" style="2" customWidth="1"/>
    <col min="12" max="12" width="10.33203125" style="2" customWidth="1"/>
    <col min="13" max="13" width="9.5546875" style="2" customWidth="1"/>
    <col min="14" max="19" width="8.44140625" style="2" customWidth="1"/>
    <col min="20" max="20" width="9.44140625" style="2" customWidth="1"/>
    <col min="21" max="21" width="8.44140625" style="2" customWidth="1"/>
    <col min="22" max="22" width="10.88671875" style="2" customWidth="1"/>
    <col min="23" max="23" width="8.44140625" style="2" customWidth="1"/>
    <col min="24" max="33" width="11.5546875" style="2" customWidth="1" outlineLevel="1"/>
    <col min="34" max="36" width="11.5546875" style="2"/>
    <col min="37" max="37" width="14.6640625" style="2" customWidth="1"/>
    <col min="38" max="38" width="11.5546875" style="51"/>
    <col min="39" max="43" width="11.5546875" style="51" hidden="1" customWidth="1"/>
    <col min="44" max="46" width="11.5546875" style="51"/>
    <col min="47" max="16384" width="11.5546875" style="2"/>
  </cols>
  <sheetData>
    <row r="1" spans="1:50" s="21" customFormat="1" ht="22.8" customHeight="1">
      <c r="A1" s="303" t="s">
        <v>239</v>
      </c>
      <c r="B1" s="303"/>
      <c r="C1" s="303"/>
      <c r="D1" s="303"/>
      <c r="E1" s="303"/>
      <c r="F1" s="303"/>
      <c r="G1" s="303"/>
      <c r="H1" s="303"/>
      <c r="I1" s="303"/>
      <c r="J1" s="303"/>
      <c r="K1" s="303"/>
      <c r="L1" s="303"/>
      <c r="M1" s="303"/>
      <c r="N1" s="303"/>
      <c r="O1" s="303"/>
      <c r="P1" s="303"/>
      <c r="Q1" s="303"/>
      <c r="R1" s="303"/>
      <c r="S1" s="303"/>
      <c r="T1" s="303"/>
      <c r="U1" s="303"/>
      <c r="V1" s="303"/>
      <c r="W1" s="303"/>
      <c r="AJ1" s="2"/>
      <c r="AK1" s="2"/>
      <c r="AL1" s="51"/>
      <c r="AN1" s="52"/>
      <c r="AO1" s="53">
        <v>1</v>
      </c>
      <c r="AP1" s="51"/>
      <c r="AQ1" s="51"/>
      <c r="AR1" s="51"/>
      <c r="AS1" s="51"/>
      <c r="AT1" s="51"/>
      <c r="AU1" s="2"/>
      <c r="AV1" s="2"/>
      <c r="AW1" s="2"/>
      <c r="AX1" s="2"/>
    </row>
    <row r="2" spans="1:50" ht="16.95" customHeight="1">
      <c r="A2" s="192"/>
      <c r="B2" s="192"/>
      <c r="C2" s="192"/>
      <c r="D2" s="192"/>
      <c r="E2" s="192"/>
      <c r="F2" s="192"/>
      <c r="G2" s="192"/>
      <c r="H2" s="192"/>
      <c r="I2" s="192"/>
      <c r="J2" s="193"/>
      <c r="K2" s="194" t="s">
        <v>74</v>
      </c>
      <c r="L2" s="193"/>
      <c r="M2" s="193"/>
      <c r="N2" s="193"/>
      <c r="O2" s="193"/>
      <c r="P2" s="192"/>
      <c r="Q2" s="192"/>
      <c r="R2" s="192"/>
      <c r="S2" s="192"/>
      <c r="T2" s="192"/>
      <c r="U2" s="192"/>
      <c r="V2" s="192"/>
      <c r="W2" s="192"/>
      <c r="AM2" s="51">
        <f t="shared" ref="AM2:AM10" si="0">AM3-20</f>
        <v>200</v>
      </c>
      <c r="AN2" s="51">
        <v>5</v>
      </c>
      <c r="AO2" s="53">
        <v>1.01</v>
      </c>
      <c r="AP2" s="51" t="s">
        <v>72</v>
      </c>
      <c r="AQ2" s="53">
        <v>0.05</v>
      </c>
    </row>
    <row r="3" spans="1:50" ht="16.95" customHeight="1">
      <c r="A3" s="192"/>
      <c r="B3" s="192"/>
      <c r="C3" s="192"/>
      <c r="D3" s="192"/>
      <c r="E3" s="192"/>
      <c r="F3" s="192"/>
      <c r="G3" s="186"/>
      <c r="H3" s="197" t="s">
        <v>87</v>
      </c>
      <c r="I3" s="195"/>
      <c r="J3" s="193"/>
      <c r="K3" s="193"/>
      <c r="L3" s="193"/>
      <c r="M3" s="191"/>
      <c r="N3" s="196" t="s">
        <v>83</v>
      </c>
      <c r="O3" s="193"/>
      <c r="P3" s="192"/>
      <c r="Q3" s="192"/>
      <c r="R3" s="192"/>
      <c r="S3" s="192"/>
      <c r="T3" s="192"/>
      <c r="U3" s="192"/>
      <c r="V3" s="192"/>
      <c r="W3" s="192"/>
      <c r="AM3" s="51">
        <f t="shared" si="0"/>
        <v>220</v>
      </c>
      <c r="AN3" s="51">
        <v>6</v>
      </c>
      <c r="AO3" s="53"/>
      <c r="AP3" s="51" t="s">
        <v>71</v>
      </c>
      <c r="AQ3" s="53"/>
    </row>
    <row r="4" spans="1:50" ht="16.95" customHeight="1">
      <c r="A4" s="2" t="s">
        <v>70</v>
      </c>
      <c r="B4" s="181" t="s">
        <v>71</v>
      </c>
      <c r="J4" s="22"/>
      <c r="AM4" s="51">
        <f t="shared" si="0"/>
        <v>240</v>
      </c>
      <c r="AN4" s="51">
        <v>7</v>
      </c>
      <c r="AO4" s="53"/>
      <c r="AQ4" s="53"/>
    </row>
    <row r="5" spans="1:50" ht="16.95" customHeight="1">
      <c r="A5" s="23"/>
      <c r="B5" s="23"/>
      <c r="C5" s="23"/>
      <c r="D5" s="23"/>
      <c r="E5" s="23"/>
      <c r="F5" s="23"/>
      <c r="G5" s="23"/>
      <c r="H5" s="23"/>
      <c r="I5" s="23"/>
      <c r="J5" s="23"/>
      <c r="K5" s="23"/>
      <c r="L5" s="23"/>
      <c r="M5" s="23"/>
      <c r="N5" s="23"/>
      <c r="O5" s="23"/>
      <c r="P5" s="23"/>
      <c r="Q5" s="23"/>
      <c r="R5" s="23"/>
      <c r="S5" s="23"/>
      <c r="T5" s="23"/>
      <c r="U5" s="23"/>
      <c r="V5" s="23"/>
      <c r="AM5" s="51">
        <f t="shared" si="0"/>
        <v>260</v>
      </c>
      <c r="AN5" s="51">
        <v>8</v>
      </c>
      <c r="AO5" s="53">
        <v>1.02</v>
      </c>
      <c r="AQ5" s="53">
        <f>AQ2+5%</f>
        <v>0.1</v>
      </c>
    </row>
    <row r="6" spans="1:50" s="27" customFormat="1" ht="16.95" customHeight="1">
      <c r="A6" s="24" t="s">
        <v>27</v>
      </c>
      <c r="B6" s="24"/>
      <c r="C6" s="24"/>
      <c r="D6" s="25"/>
      <c r="E6" s="25"/>
      <c r="F6" s="26" t="s">
        <v>84</v>
      </c>
      <c r="G6" s="25"/>
      <c r="H6" s="25"/>
      <c r="I6" s="25"/>
      <c r="J6" s="25"/>
      <c r="K6" s="306" t="s">
        <v>0</v>
      </c>
      <c r="L6" s="306"/>
      <c r="M6" s="306"/>
      <c r="N6" s="306"/>
      <c r="O6" s="25"/>
      <c r="P6" s="25"/>
      <c r="Q6" s="25"/>
      <c r="R6" s="25"/>
      <c r="S6" s="25"/>
      <c r="T6" s="25" t="s">
        <v>240</v>
      </c>
      <c r="U6" s="25"/>
      <c r="V6" s="25"/>
      <c r="W6" s="25"/>
      <c r="Z6"/>
      <c r="AA6"/>
      <c r="AB6"/>
      <c r="AC6"/>
      <c r="AJ6" s="2"/>
      <c r="AK6" s="2"/>
      <c r="AL6" s="51"/>
      <c r="AM6" s="51">
        <f t="shared" si="0"/>
        <v>280</v>
      </c>
      <c r="AN6" s="51">
        <v>9</v>
      </c>
      <c r="AO6" s="54">
        <v>1.03</v>
      </c>
      <c r="AP6" s="51"/>
      <c r="AQ6" s="53">
        <f t="shared" ref="AQ6:AQ14" si="1">AQ5+5%</f>
        <v>0.15000000000000002</v>
      </c>
      <c r="AR6" s="51"/>
      <c r="AS6" s="51"/>
      <c r="AT6" s="51"/>
      <c r="AU6" s="2"/>
      <c r="AV6" s="2"/>
      <c r="AW6" s="2"/>
      <c r="AX6" s="2"/>
    </row>
    <row r="7" spans="1:50" ht="16.95" customHeight="1">
      <c r="Z7"/>
      <c r="AA7"/>
      <c r="AB7"/>
      <c r="AC7"/>
      <c r="AM7" s="51">
        <f t="shared" si="0"/>
        <v>300</v>
      </c>
      <c r="AN7" s="51">
        <v>10</v>
      </c>
      <c r="AO7" s="54">
        <f>1%+AO6</f>
        <v>1.04</v>
      </c>
      <c r="AQ7" s="53">
        <f t="shared" si="1"/>
        <v>0.2</v>
      </c>
    </row>
    <row r="8" spans="1:50" s="29" customFormat="1" ht="14.4" customHeight="1">
      <c r="A8" s="307" t="s">
        <v>23</v>
      </c>
      <c r="B8" s="308"/>
      <c r="C8" s="28">
        <f>ENCAISSEMENTS!C32</f>
        <v>0</v>
      </c>
      <c r="E8" s="309" t="s">
        <v>41</v>
      </c>
      <c r="F8" s="309"/>
      <c r="G8" s="309"/>
      <c r="H8" s="309"/>
      <c r="I8" s="177">
        <v>5.0000000000000001E-3</v>
      </c>
      <c r="K8" s="307" t="s">
        <v>121</v>
      </c>
      <c r="L8" s="308"/>
      <c r="M8" s="30">
        <f>M9*M10</f>
        <v>0</v>
      </c>
      <c r="N8" s="31"/>
      <c r="O8" s="307" t="s">
        <v>76</v>
      </c>
      <c r="P8" s="308"/>
      <c r="Q8" s="183"/>
      <c r="R8" s="2"/>
      <c r="T8" s="307" t="s">
        <v>135</v>
      </c>
      <c r="U8" s="310"/>
      <c r="V8" s="308"/>
      <c r="W8" s="45" t="e">
        <f>DECAISSEMENTS!D26/(ENCAISSEMENTS!D32*1000)</f>
        <v>#DIV/0!</v>
      </c>
      <c r="X8" s="2"/>
      <c r="Z8"/>
      <c r="AA8"/>
      <c r="AB8"/>
      <c r="AC8"/>
      <c r="AD8" s="2"/>
      <c r="AE8" s="2"/>
      <c r="AF8" s="2"/>
      <c r="AG8" s="2"/>
      <c r="AH8" s="2"/>
      <c r="AI8" s="2"/>
      <c r="AJ8" s="2"/>
      <c r="AK8" s="2"/>
      <c r="AL8" s="51"/>
      <c r="AM8" s="51">
        <f t="shared" si="0"/>
        <v>320</v>
      </c>
      <c r="AN8" s="51">
        <v>11</v>
      </c>
      <c r="AO8" s="54">
        <f t="shared" ref="AO8:AO19" si="2">1%+AO7</f>
        <v>1.05</v>
      </c>
      <c r="AP8" s="55"/>
      <c r="AQ8" s="53">
        <f t="shared" si="1"/>
        <v>0.25</v>
      </c>
      <c r="AR8" s="55"/>
      <c r="AS8" s="55"/>
      <c r="AT8" s="55"/>
    </row>
    <row r="9" spans="1:50" ht="14.4" customHeight="1">
      <c r="A9" s="304" t="s">
        <v>24</v>
      </c>
      <c r="B9" s="305"/>
      <c r="C9" s="32">
        <f>ENCAISSEMENTS!D32</f>
        <v>0</v>
      </c>
      <c r="E9" s="309" t="s">
        <v>3</v>
      </c>
      <c r="F9" s="309"/>
      <c r="G9" s="309"/>
      <c r="H9" s="309"/>
      <c r="I9" s="177">
        <v>5.0000000000000001E-3</v>
      </c>
      <c r="K9" s="304" t="s">
        <v>85</v>
      </c>
      <c r="L9" s="305"/>
      <c r="M9" s="181"/>
      <c r="O9" s="307" t="s">
        <v>119</v>
      </c>
      <c r="P9" s="308"/>
      <c r="Q9" s="184"/>
      <c r="T9" s="307" t="s">
        <v>238</v>
      </c>
      <c r="U9" s="310"/>
      <c r="V9" s="308"/>
      <c r="W9" s="45" t="e">
        <f>C11/(C9*1000)</f>
        <v>#DIV/0!</v>
      </c>
      <c r="Z9"/>
      <c r="AA9"/>
      <c r="AB9"/>
      <c r="AC9"/>
      <c r="AM9" s="51">
        <f t="shared" si="0"/>
        <v>340</v>
      </c>
      <c r="AN9" s="51">
        <v>12</v>
      </c>
      <c r="AO9" s="54">
        <f t="shared" si="2"/>
        <v>1.06</v>
      </c>
      <c r="AQ9" s="53">
        <f t="shared" si="1"/>
        <v>0.3</v>
      </c>
    </row>
    <row r="10" spans="1:50" ht="14.4">
      <c r="A10" s="307" t="s">
        <v>26</v>
      </c>
      <c r="B10" s="308"/>
      <c r="C10" s="33">
        <f>ENCAISSEMENTS!F32</f>
        <v>0</v>
      </c>
      <c r="E10" s="309" t="s">
        <v>4</v>
      </c>
      <c r="F10" s="309"/>
      <c r="G10" s="309"/>
      <c r="H10" s="309"/>
      <c r="I10" s="178">
        <v>0.02</v>
      </c>
      <c r="K10" s="304" t="s">
        <v>86</v>
      </c>
      <c r="L10" s="305"/>
      <c r="M10" s="182"/>
      <c r="O10" s="307" t="s">
        <v>12</v>
      </c>
      <c r="P10" s="308"/>
      <c r="Q10" s="185"/>
      <c r="AM10" s="51">
        <f t="shared" si="0"/>
        <v>360</v>
      </c>
      <c r="AN10" s="51">
        <v>13</v>
      </c>
      <c r="AO10" s="54">
        <f t="shared" si="2"/>
        <v>1.07</v>
      </c>
      <c r="AQ10" s="53">
        <f t="shared" si="1"/>
        <v>0.35</v>
      </c>
    </row>
    <row r="11" spans="1:50" ht="14.4" customHeight="1">
      <c r="A11" s="68" t="s">
        <v>28</v>
      </c>
      <c r="B11" s="69"/>
      <c r="C11" s="34">
        <f>DECAISSEMENTS!N26</f>
        <v>0</v>
      </c>
      <c r="E11" s="309" t="s">
        <v>42</v>
      </c>
      <c r="F11" s="309"/>
      <c r="G11" s="309"/>
      <c r="H11" s="309"/>
      <c r="I11" s="179">
        <v>1</v>
      </c>
      <c r="K11" s="307" t="s">
        <v>30</v>
      </c>
      <c r="L11" s="308"/>
      <c r="M11" s="30">
        <f>1.01*C11-M8-Q8-M14</f>
        <v>0</v>
      </c>
      <c r="N11"/>
      <c r="AM11" s="51">
        <f>AM12-20</f>
        <v>380</v>
      </c>
      <c r="AN11" s="51">
        <v>14</v>
      </c>
      <c r="AO11" s="54">
        <f t="shared" si="2"/>
        <v>1.08</v>
      </c>
      <c r="AQ11" s="53">
        <f t="shared" si="1"/>
        <v>0.39999999999999997</v>
      </c>
    </row>
    <row r="12" spans="1:50" ht="14.4" customHeight="1">
      <c r="A12" s="68" t="s">
        <v>25</v>
      </c>
      <c r="B12" s="69"/>
      <c r="C12" s="34">
        <f>ENCAISSEMENTS!X32</f>
        <v>0</v>
      </c>
      <c r="E12" s="309" t="s">
        <v>43</v>
      </c>
      <c r="F12" s="309"/>
      <c r="G12" s="309"/>
      <c r="H12" s="309"/>
      <c r="I12" s="180">
        <v>0.3</v>
      </c>
      <c r="K12" s="304" t="s">
        <v>44</v>
      </c>
      <c r="L12" s="305"/>
      <c r="M12" s="178"/>
      <c r="O12" s="307" t="s">
        <v>134</v>
      </c>
      <c r="P12" s="310"/>
      <c r="Q12" s="308"/>
      <c r="R12" s="190" t="e">
        <f>(M8+M14)/C11</f>
        <v>#DIV/0!</v>
      </c>
      <c r="AM12" s="51">
        <v>400</v>
      </c>
      <c r="AN12" s="51">
        <v>15</v>
      </c>
      <c r="AO12" s="54">
        <f t="shared" si="2"/>
        <v>1.0900000000000001</v>
      </c>
      <c r="AQ12" s="53">
        <f t="shared" si="1"/>
        <v>0.44999999999999996</v>
      </c>
    </row>
    <row r="13" spans="1:50" ht="14.4" customHeight="1">
      <c r="A13" s="68" t="s">
        <v>29</v>
      </c>
      <c r="B13" s="69"/>
      <c r="C13" s="34">
        <f>DECAISSEMENTS!M58+DECAISSEMENTS!G34-DECAISSEMENTS!I58</f>
        <v>2295</v>
      </c>
      <c r="E13" s="309" t="s">
        <v>14</v>
      </c>
      <c r="F13" s="309"/>
      <c r="G13" s="309"/>
      <c r="H13" s="309"/>
      <c r="I13" s="91" t="e">
        <f>(M8*R13+M11*M12*(1-0.15))/(M8+M11)</f>
        <v>#DIV/0!</v>
      </c>
      <c r="K13" s="304" t="s">
        <v>12</v>
      </c>
      <c r="L13" s="305"/>
      <c r="M13" s="181"/>
      <c r="O13" s="307" t="s">
        <v>237</v>
      </c>
      <c r="P13" s="310"/>
      <c r="Q13" s="308"/>
      <c r="R13" s="217">
        <v>0.03</v>
      </c>
      <c r="AM13" s="51">
        <v>450</v>
      </c>
      <c r="AN13" s="51">
        <v>16</v>
      </c>
      <c r="AO13" s="54">
        <f t="shared" si="2"/>
        <v>1.1000000000000001</v>
      </c>
      <c r="AQ13" s="53">
        <f t="shared" si="1"/>
        <v>0.49999999999999994</v>
      </c>
    </row>
    <row r="14" spans="1:50" ht="14.4" customHeight="1">
      <c r="A14" s="307" t="s">
        <v>37</v>
      </c>
      <c r="B14" s="308"/>
      <c r="C14" s="34">
        <f>DECAISSEMENTS!F63+DECAISSEMENTS!F64</f>
        <v>800</v>
      </c>
      <c r="E14" s="309" t="s">
        <v>34</v>
      </c>
      <c r="F14" s="309"/>
      <c r="G14" s="309"/>
      <c r="H14" s="309"/>
      <c r="I14" s="180">
        <v>0.17199999999999999</v>
      </c>
      <c r="K14" s="304" t="s">
        <v>133</v>
      </c>
      <c r="L14" s="305"/>
      <c r="M14" s="181"/>
      <c r="AM14" s="51">
        <v>475</v>
      </c>
      <c r="AN14" s="51">
        <v>17</v>
      </c>
      <c r="AO14" s="54">
        <f t="shared" si="2"/>
        <v>1.1100000000000001</v>
      </c>
      <c r="AQ14" s="53">
        <f t="shared" si="1"/>
        <v>0.54999999999999993</v>
      </c>
    </row>
    <row r="15" spans="1:50" ht="14.4" customHeight="1">
      <c r="A15" s="304" t="s">
        <v>61</v>
      </c>
      <c r="B15" s="305"/>
      <c r="C15" s="34">
        <f>DECAISSEMENTS!F65</f>
        <v>0</v>
      </c>
      <c r="E15" s="309" t="s">
        <v>45</v>
      </c>
      <c r="F15" s="309"/>
      <c r="G15" s="309"/>
      <c r="H15" s="309"/>
      <c r="I15" s="180">
        <v>0.99</v>
      </c>
      <c r="K15"/>
      <c r="L15"/>
      <c r="M15"/>
      <c r="N15"/>
      <c r="AM15" s="51">
        <v>500</v>
      </c>
      <c r="AN15" s="51">
        <v>18</v>
      </c>
      <c r="AO15" s="54">
        <f t="shared" si="2"/>
        <v>1.1200000000000001</v>
      </c>
      <c r="AQ15" s="56">
        <v>0.57499999999999996</v>
      </c>
    </row>
    <row r="16" spans="1:50" ht="14.4" customHeight="1">
      <c r="A16" s="304" t="s">
        <v>132</v>
      </c>
      <c r="B16" s="305"/>
      <c r="C16" s="34">
        <f>DECAISSEMENTS!F66</f>
        <v>0</v>
      </c>
      <c r="E16" s="309" t="s">
        <v>88</v>
      </c>
      <c r="F16" s="309"/>
      <c r="G16" s="309"/>
      <c r="H16" s="309"/>
      <c r="I16" s="189">
        <v>400</v>
      </c>
      <c r="AM16" s="51">
        <f>AM15+50</f>
        <v>550</v>
      </c>
      <c r="AN16" s="51">
        <v>19</v>
      </c>
      <c r="AO16" s="54">
        <f t="shared" si="2"/>
        <v>1.1300000000000001</v>
      </c>
      <c r="AQ16" s="53">
        <f>AQ14+5%</f>
        <v>0.6</v>
      </c>
    </row>
    <row r="17" spans="1:55" ht="16.95" customHeight="1">
      <c r="A17" s="304" t="s">
        <v>260</v>
      </c>
      <c r="B17" s="305"/>
      <c r="C17" s="34">
        <f>DECAISSEMENTS!F67</f>
        <v>0</v>
      </c>
      <c r="E17" s="188" t="s">
        <v>236</v>
      </c>
      <c r="F17" s="187"/>
      <c r="G17" s="187"/>
      <c r="H17" s="187"/>
      <c r="I17" s="189">
        <v>7</v>
      </c>
      <c r="AM17" s="51">
        <f>AM16+10</f>
        <v>560</v>
      </c>
      <c r="AN17" s="51">
        <v>20</v>
      </c>
      <c r="AO17" s="54">
        <f t="shared" si="2"/>
        <v>1.1400000000000001</v>
      </c>
      <c r="AQ17" s="53">
        <f>AQ16+5%</f>
        <v>0.65</v>
      </c>
    </row>
    <row r="18" spans="1:55" ht="16.95" customHeight="1">
      <c r="AM18" s="51">
        <f t="shared" ref="AM18:AM47" si="3">AM17+10</f>
        <v>570</v>
      </c>
      <c r="AN18" s="51">
        <v>21</v>
      </c>
      <c r="AO18" s="54">
        <f t="shared" si="2"/>
        <v>1.1500000000000001</v>
      </c>
      <c r="AQ18" s="53">
        <f>AQ17+5%</f>
        <v>0.70000000000000007</v>
      </c>
    </row>
    <row r="19" spans="1:55" ht="16.95" customHeight="1">
      <c r="A19" s="306" t="s">
        <v>2</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M19" s="51">
        <f t="shared" si="3"/>
        <v>580</v>
      </c>
      <c r="AN19" s="51">
        <v>22</v>
      </c>
      <c r="AO19" s="54">
        <f t="shared" si="2"/>
        <v>1.1600000000000001</v>
      </c>
      <c r="AQ19" s="53">
        <f>AQ18+5%</f>
        <v>0.75000000000000011</v>
      </c>
    </row>
    <row r="20" spans="1:55" ht="16.95" customHeight="1" thickBot="1">
      <c r="AM20" s="51">
        <f t="shared" si="3"/>
        <v>590</v>
      </c>
      <c r="AN20" s="51">
        <v>23</v>
      </c>
      <c r="AQ20" s="53">
        <f>AQ19+5%</f>
        <v>0.80000000000000016</v>
      </c>
      <c r="AY20" s="8"/>
      <c r="AZ20" s="8"/>
      <c r="BA20" s="8"/>
      <c r="BB20" s="8"/>
      <c r="BC20" s="9"/>
    </row>
    <row r="21" spans="1:55" ht="16.95" customHeight="1">
      <c r="B21" s="3"/>
      <c r="C21" s="4">
        <v>0</v>
      </c>
      <c r="D21" s="4">
        <v>1</v>
      </c>
      <c r="E21" s="5">
        <v>2</v>
      </c>
      <c r="F21" s="6">
        <v>3</v>
      </c>
      <c r="G21" s="6">
        <v>4</v>
      </c>
      <c r="H21" s="6">
        <v>5</v>
      </c>
      <c r="I21" s="6">
        <v>6</v>
      </c>
      <c r="J21" s="6">
        <v>7</v>
      </c>
      <c r="K21" s="6">
        <v>8</v>
      </c>
      <c r="L21" s="6">
        <v>9</v>
      </c>
      <c r="M21" s="6">
        <v>10</v>
      </c>
      <c r="N21" s="6">
        <v>11</v>
      </c>
      <c r="O21" s="6">
        <v>12</v>
      </c>
      <c r="P21" s="6">
        <v>13</v>
      </c>
      <c r="Q21" s="6">
        <v>14</v>
      </c>
      <c r="R21" s="6">
        <v>15</v>
      </c>
      <c r="S21" s="6">
        <v>16</v>
      </c>
      <c r="T21" s="6">
        <v>17</v>
      </c>
      <c r="U21" s="5">
        <v>18</v>
      </c>
      <c r="V21" s="5">
        <v>19</v>
      </c>
      <c r="W21" s="7">
        <v>20</v>
      </c>
      <c r="X21" s="5">
        <v>21</v>
      </c>
      <c r="Y21" s="7">
        <v>22</v>
      </c>
      <c r="Z21" s="5">
        <v>23</v>
      </c>
      <c r="AA21" s="7">
        <v>24</v>
      </c>
      <c r="AB21" s="5">
        <v>25</v>
      </c>
      <c r="AC21" s="7">
        <v>26</v>
      </c>
      <c r="AD21" s="5">
        <v>27</v>
      </c>
      <c r="AE21" s="7">
        <v>28</v>
      </c>
      <c r="AF21" s="5">
        <v>29</v>
      </c>
      <c r="AG21" s="7">
        <v>30</v>
      </c>
      <c r="AM21" s="51">
        <f t="shared" si="3"/>
        <v>600</v>
      </c>
      <c r="AN21" s="51">
        <v>24</v>
      </c>
      <c r="AQ21" s="53">
        <f t="shared" ref="AQ21:AQ24" si="4">AQ20+5%</f>
        <v>0.8500000000000002</v>
      </c>
    </row>
    <row r="22" spans="1:55" ht="16.95" customHeight="1">
      <c r="A22" s="311" t="s">
        <v>31</v>
      </c>
      <c r="B22" s="312"/>
      <c r="C22" s="64"/>
      <c r="D22" s="33">
        <f>C12*$I$15</f>
        <v>0</v>
      </c>
      <c r="E22" s="33">
        <f>((ENCAISSEMENTS!$N$32*ENCAISSEMENTS!$O$12/100)*(100%+ENCAISSEMENTS!$P$12)^(E21-1)+(ENCAISSEMENTS!$Q$32*ENCAISSEMENTS!$R$12/100)*(100%+ENCAISSEMENTS!$S$12)^(E21-1)+(ENCAISSEMENTS!$T$32*ENCAISSEMENTS!$U$12/100)*(100%+ENCAISSEMENTS!$V$12)^(E21-1)+ENCAISSEMENTS!$J$32*(100%+index_tarif)^(E21-1))*$I$15*(100%-perte_prod)^(E21-1)</f>
        <v>0</v>
      </c>
      <c r="F22" s="33">
        <f>((ENCAISSEMENTS!$N$32*ENCAISSEMENTS!$O$12/100)*(100%+ENCAISSEMENTS!$P$12)^(F21-1)+(ENCAISSEMENTS!$Q$32*ENCAISSEMENTS!$R$12/100)*(100%+ENCAISSEMENTS!$S$12)^(F21-1)+(ENCAISSEMENTS!$T$32*ENCAISSEMENTS!$U$12/100)*(100%+ENCAISSEMENTS!$V$12)^(F21-1)+ENCAISSEMENTS!$J$32*(100%+index_tarif)^(F21-1))*$I$15*(100%-perte_prod)^(F21-1)</f>
        <v>0</v>
      </c>
      <c r="G22" s="33">
        <f>((ENCAISSEMENTS!$N$32*ENCAISSEMENTS!$O$12/100)*(100%+ENCAISSEMENTS!$P$12)^(G21-1)+(ENCAISSEMENTS!$Q$32*ENCAISSEMENTS!$R$12/100)*(100%+ENCAISSEMENTS!$S$12)^(G21-1)+(ENCAISSEMENTS!$T$32*ENCAISSEMENTS!$U$12/100)*(100%+ENCAISSEMENTS!$V$12)^(G21-1)+ENCAISSEMENTS!$J$32*(100%+index_tarif)^(G21-1))*$I$15*(100%-perte_prod)^(G21-1)</f>
        <v>0</v>
      </c>
      <c r="H22" s="33">
        <f>((ENCAISSEMENTS!$N$32*ENCAISSEMENTS!$O$12/100)*(100%+ENCAISSEMENTS!$P$12)^(H21-1)+(ENCAISSEMENTS!$Q$32*ENCAISSEMENTS!$R$12/100)*(100%+ENCAISSEMENTS!$S$12)^(H21-1)+(ENCAISSEMENTS!$T$32*ENCAISSEMENTS!$U$12/100)*(100%+ENCAISSEMENTS!$V$12)^(H21-1)+ENCAISSEMENTS!$J$32*(100%+index_tarif)^(H21-1))*$I$15*(100%-perte_prod)^(H21-1)</f>
        <v>0</v>
      </c>
      <c r="I22" s="33">
        <f>((ENCAISSEMENTS!$N$32*ENCAISSEMENTS!$O$12/100)*(100%+ENCAISSEMENTS!$P$12)^(I21-1)+(ENCAISSEMENTS!$Q$32*ENCAISSEMENTS!$R$12/100)*(100%+ENCAISSEMENTS!$S$12)^(I21-1)+(ENCAISSEMENTS!$T$32*ENCAISSEMENTS!$U$12/100)*(100%+ENCAISSEMENTS!$V$12)^(I21-1)+ENCAISSEMENTS!$J$32*(100%+index_tarif)^(I21-1))*$I$15*(100%-perte_prod)^(I21-1)</f>
        <v>0</v>
      </c>
      <c r="J22" s="33">
        <f>((ENCAISSEMENTS!$N$32*ENCAISSEMENTS!$O$12/100)*(100%+ENCAISSEMENTS!$P$12)^(J21-1)+(ENCAISSEMENTS!$Q$32*ENCAISSEMENTS!$R$12/100)*(100%+ENCAISSEMENTS!$S$12)^(J21-1)+(ENCAISSEMENTS!$T$32*ENCAISSEMENTS!$U$12/100)*(100%+ENCAISSEMENTS!$V$12)^(J21-1)+ENCAISSEMENTS!$J$32*(100%+index_tarif)^(J21-1))*$I$15*(100%-perte_prod)^(J21-1)</f>
        <v>0</v>
      </c>
      <c r="K22" s="33">
        <f>((ENCAISSEMENTS!$N$32*ENCAISSEMENTS!$O$12/100)*(100%+ENCAISSEMENTS!$P$12)^(K21-1)+(ENCAISSEMENTS!$Q$32*ENCAISSEMENTS!$R$12/100)*(100%+ENCAISSEMENTS!$S$12)^(K21-1)+(ENCAISSEMENTS!$T$32*ENCAISSEMENTS!$U$12/100)*(100%+ENCAISSEMENTS!$V$12)^(K21-1)+ENCAISSEMENTS!$J$32*(100%+index_tarif)^(K21-1))*$I$15*(100%-perte_prod)^(K21-1)</f>
        <v>0</v>
      </c>
      <c r="L22" s="33">
        <f>((ENCAISSEMENTS!$N$32*ENCAISSEMENTS!$O$12/100)*(100%+ENCAISSEMENTS!$P$12)^(L21-1)+(ENCAISSEMENTS!$Q$32*ENCAISSEMENTS!$R$12/100)*(100%+ENCAISSEMENTS!$S$12)^(L21-1)+(ENCAISSEMENTS!$T$32*ENCAISSEMENTS!$U$12/100)*(100%+ENCAISSEMENTS!$V$12)^(L21-1)+ENCAISSEMENTS!$J$32*(100%+index_tarif)^(L21-1))*$I$15*(100%-perte_prod)^(L21-1)</f>
        <v>0</v>
      </c>
      <c r="M22" s="33">
        <f>((ENCAISSEMENTS!$N$32*ENCAISSEMENTS!$O$12/100)*(100%+ENCAISSEMENTS!$P$12)^(M21-1)+(ENCAISSEMENTS!$Q$32*ENCAISSEMENTS!$R$12/100)*(100%+ENCAISSEMENTS!$S$12)^(M21-1)+(ENCAISSEMENTS!$T$32*ENCAISSEMENTS!$U$12/100)*(100%+ENCAISSEMENTS!$V$12)^(M21-1)+ENCAISSEMENTS!$J$32*(100%+index_tarif)^(M21-1))*$I$15*(100%-perte_prod)^(M21-1)</f>
        <v>0</v>
      </c>
      <c r="N22" s="33">
        <f>((ENCAISSEMENTS!$N$32*ENCAISSEMENTS!$O$12/100)*(100%+ENCAISSEMENTS!$P$12)^(N21-1)+(ENCAISSEMENTS!$Q$32*ENCAISSEMENTS!$R$12/100)*(100%+ENCAISSEMENTS!$S$12)^(N21-1)+(ENCAISSEMENTS!$T$32*ENCAISSEMENTS!$U$12/100)*(100%+ENCAISSEMENTS!$V$12)^(N21-1)+ENCAISSEMENTS!$J$32*(100%+index_tarif)^(N21-1))*$I$15*(100%-perte_prod)^(N21-1)</f>
        <v>0</v>
      </c>
      <c r="O22" s="33">
        <f>((ENCAISSEMENTS!$N$32*ENCAISSEMENTS!$O$12/100)*(100%+ENCAISSEMENTS!$P$12)^(O21-1)+(ENCAISSEMENTS!$Q$32*ENCAISSEMENTS!$R$12/100)*(100%+ENCAISSEMENTS!$S$12)^(O21-1)+(ENCAISSEMENTS!$T$32*ENCAISSEMENTS!$U$12/100)*(100%+ENCAISSEMENTS!$V$12)^(O21-1)+ENCAISSEMENTS!$J$32*(100%+index_tarif)^(O21-1))*$I$15*(100%-perte_prod)^(O21-1)</f>
        <v>0</v>
      </c>
      <c r="P22" s="33">
        <f>((ENCAISSEMENTS!$N$32*ENCAISSEMENTS!$O$12/100)*(100%+ENCAISSEMENTS!$P$12)^(P21-1)+(ENCAISSEMENTS!$Q$32*ENCAISSEMENTS!$R$12/100)*(100%+ENCAISSEMENTS!$S$12)^(P21-1)+(ENCAISSEMENTS!$T$32*ENCAISSEMENTS!$U$12/100)*(100%+ENCAISSEMENTS!$V$12)^(P21-1)+ENCAISSEMENTS!$J$32*(100%+index_tarif)^(P21-1))*$I$15*(100%-perte_prod)^(P21-1)</f>
        <v>0</v>
      </c>
      <c r="Q22" s="33">
        <f>((ENCAISSEMENTS!$N$32*ENCAISSEMENTS!$O$12/100)*(100%+ENCAISSEMENTS!$P$12)^(Q21-1)+(ENCAISSEMENTS!$Q$32*ENCAISSEMENTS!$R$12/100)*(100%+ENCAISSEMENTS!$S$12)^(Q21-1)+(ENCAISSEMENTS!$T$32*ENCAISSEMENTS!$U$12/100)*(100%+ENCAISSEMENTS!$V$12)^(Q21-1)+ENCAISSEMENTS!$J$32*(100%+index_tarif)^(Q21-1))*$I$15*(100%-perte_prod)^(Q21-1)</f>
        <v>0</v>
      </c>
      <c r="R22" s="33">
        <f>((ENCAISSEMENTS!$N$32*ENCAISSEMENTS!$O$12/100)*(100%+ENCAISSEMENTS!$P$12)^(R21-1)+(ENCAISSEMENTS!$Q$32*ENCAISSEMENTS!$R$12/100)*(100%+ENCAISSEMENTS!$S$12)^(R21-1)+(ENCAISSEMENTS!$T$32*ENCAISSEMENTS!$U$12/100)*(100%+ENCAISSEMENTS!$V$12)^(R21-1)+ENCAISSEMENTS!$J$32*(100%+index_tarif)^(R21-1))*$I$15*(100%-perte_prod)^(R21-1)</f>
        <v>0</v>
      </c>
      <c r="S22" s="33">
        <f>((ENCAISSEMENTS!$N$32*ENCAISSEMENTS!$O$12/100)*(100%+ENCAISSEMENTS!$P$12)^(S21-1)+(ENCAISSEMENTS!$Q$32*ENCAISSEMENTS!$R$12/100)*(100%+ENCAISSEMENTS!$S$12)^(S21-1)+(ENCAISSEMENTS!$T$32*ENCAISSEMENTS!$U$12/100)*(100%+ENCAISSEMENTS!$V$12)^(S21-1)+ENCAISSEMENTS!$J$32*(100%+index_tarif)^(S21-1))*$I$15*(100%-perte_prod)^(S21-1)</f>
        <v>0</v>
      </c>
      <c r="T22" s="33">
        <f>((ENCAISSEMENTS!$N$32*ENCAISSEMENTS!$O$12/100)*(100%+ENCAISSEMENTS!$P$12)^(T21-1)+(ENCAISSEMENTS!$Q$32*ENCAISSEMENTS!$R$12/100)*(100%+ENCAISSEMENTS!$S$12)^(T21-1)+(ENCAISSEMENTS!$T$32*ENCAISSEMENTS!$U$12/100)*(100%+ENCAISSEMENTS!$V$12)^(T21-1)+ENCAISSEMENTS!$J$32*(100%+index_tarif)^(T21-1))*$I$15*(100%-perte_prod)^(T21-1)</f>
        <v>0</v>
      </c>
      <c r="U22" s="33">
        <f>((ENCAISSEMENTS!$N$32*ENCAISSEMENTS!$O$12/100)*(100%+ENCAISSEMENTS!$P$12)^(U21-1)+(ENCAISSEMENTS!$Q$32*ENCAISSEMENTS!$R$12/100)*(100%+ENCAISSEMENTS!$S$12)^(U21-1)+(ENCAISSEMENTS!$T$32*ENCAISSEMENTS!$U$12/100)*(100%+ENCAISSEMENTS!$V$12)^(U21-1)+ENCAISSEMENTS!$J$32*(100%+index_tarif)^(U21-1))*$I$15*(100%-perte_prod)^(U21-1)</f>
        <v>0</v>
      </c>
      <c r="V22" s="33">
        <f>((ENCAISSEMENTS!$N$32*ENCAISSEMENTS!$O$12/100)*(100%+ENCAISSEMENTS!$P$12)^(V21-1)+(ENCAISSEMENTS!$Q$32*ENCAISSEMENTS!$R$12/100)*(100%+ENCAISSEMENTS!$S$12)^(V21-1)+(ENCAISSEMENTS!$T$32*ENCAISSEMENTS!$U$12/100)*(100%+ENCAISSEMENTS!$V$12)^(V21-1)+ENCAISSEMENTS!$J$32*(100%+index_tarif)^(V21-1))*$I$15*(100%-perte_prod)^(V21-1)</f>
        <v>0</v>
      </c>
      <c r="W22" s="33">
        <f>((ENCAISSEMENTS!$N$32*ENCAISSEMENTS!$O$12/100)*(100%+ENCAISSEMENTS!$P$12)^(W21-1)+(ENCAISSEMENTS!$Q$32*ENCAISSEMENTS!$R$12/100)*(100%+ENCAISSEMENTS!$S$12)^(W21-1)+(ENCAISSEMENTS!$T$32*ENCAISSEMENTS!$U$12/100)*(100%+ENCAISSEMENTS!$V$12)^(W21-1)+ENCAISSEMENTS!$J$32*(100%+index_tarif)^(W21-1))*$I$15*(100%-perte_prod)^(W21-1)</f>
        <v>0</v>
      </c>
      <c r="X22" s="33">
        <f>((ENCAISSEMENTS!$N$32*ENCAISSEMENTS!$O$12/100)*(100%+ENCAISSEMENTS!$P$12)^(X21-1)+(ENCAISSEMENTS!$Q$32*ENCAISSEMENTS!$R$12/100)*(100%+ENCAISSEMENTS!$S$12)^(X21-1)+(ENCAISSEMENTS!$T$32*ENCAISSEMENTS!$U$12/100)*(100%+ENCAISSEMENTS!$V$12)^(X21-1)+(ENCAISSEMENTS!$H$32*SIG!$I$17/100))*$I$15*(100%-perte_prod)^(X21-1)</f>
        <v>0</v>
      </c>
      <c r="Y22" s="33">
        <f>((ENCAISSEMENTS!$N$32*ENCAISSEMENTS!$O$12/100)*(100%+ENCAISSEMENTS!$P$12)^(Y21-1)+(ENCAISSEMENTS!$Q$32*ENCAISSEMENTS!$R$12/100)*(100%+ENCAISSEMENTS!$S$12)^(Y21-1)+(ENCAISSEMENTS!$T$32*ENCAISSEMENTS!$U$12/100)*(100%+ENCAISSEMENTS!$V$12)^(Y21-1)+(ENCAISSEMENTS!$H$32*SIG!$I$17/100))*$I$15*(100%-perte_prod)^(Y21-1)</f>
        <v>0</v>
      </c>
      <c r="Z22" s="33">
        <f>((ENCAISSEMENTS!$N$32*ENCAISSEMENTS!$O$12/100)*(100%+ENCAISSEMENTS!$P$12)^(Z21-1)+(ENCAISSEMENTS!$Q$32*ENCAISSEMENTS!$R$12/100)*(100%+ENCAISSEMENTS!$S$12)^(Z21-1)+(ENCAISSEMENTS!$T$32*ENCAISSEMENTS!$U$12/100)*(100%+ENCAISSEMENTS!$V$12)^(Z21-1)+(ENCAISSEMENTS!$H$32*SIG!$I$17/100))*$I$15*(100%-perte_prod)^(Z21-1)</f>
        <v>0</v>
      </c>
      <c r="AA22" s="33">
        <f>((ENCAISSEMENTS!$N$32*ENCAISSEMENTS!$O$12/100)*(100%+ENCAISSEMENTS!$P$12)^(AA21-1)+(ENCAISSEMENTS!$Q$32*ENCAISSEMENTS!$R$12/100)*(100%+ENCAISSEMENTS!$S$12)^(AA21-1)+(ENCAISSEMENTS!$T$32*ENCAISSEMENTS!$U$12/100)*(100%+ENCAISSEMENTS!$V$12)^(AA21-1)+(ENCAISSEMENTS!$H$32*SIG!$I$17/100))*$I$15*(100%-perte_prod)^(AA21-1)</f>
        <v>0</v>
      </c>
      <c r="AB22" s="33">
        <f>((ENCAISSEMENTS!$N$32*ENCAISSEMENTS!$O$12/100)*(100%+ENCAISSEMENTS!$P$12)^(AB21-1)+(ENCAISSEMENTS!$Q$32*ENCAISSEMENTS!$R$12/100)*(100%+ENCAISSEMENTS!$S$12)^(AB21-1)+(ENCAISSEMENTS!$T$32*ENCAISSEMENTS!$U$12/100)*(100%+ENCAISSEMENTS!$V$12)^(AB21-1)+(ENCAISSEMENTS!$H$32*SIG!$I$17/100))*$I$15*(100%-perte_prod)^(AB21-1)</f>
        <v>0</v>
      </c>
      <c r="AC22" s="33">
        <f>((ENCAISSEMENTS!$N$32*ENCAISSEMENTS!$O$12/100)*(100%+ENCAISSEMENTS!$P$12)^(AC21-1)+(ENCAISSEMENTS!$Q$32*ENCAISSEMENTS!$R$12/100)*(100%+ENCAISSEMENTS!$S$12)^(AC21-1)+(ENCAISSEMENTS!$T$32*ENCAISSEMENTS!$U$12/100)*(100%+ENCAISSEMENTS!$V$12)^(AC21-1)+(ENCAISSEMENTS!$H$32*SIG!$I$17/100))*$I$15*(100%-perte_prod)^(AC21-1)</f>
        <v>0</v>
      </c>
      <c r="AD22" s="33">
        <f>((ENCAISSEMENTS!$N$32*ENCAISSEMENTS!$O$12/100)*(100%+ENCAISSEMENTS!$P$12)^(AD21-1)+(ENCAISSEMENTS!$Q$32*ENCAISSEMENTS!$R$12/100)*(100%+ENCAISSEMENTS!$S$12)^(AD21-1)+(ENCAISSEMENTS!$T$32*ENCAISSEMENTS!$U$12/100)*(100%+ENCAISSEMENTS!$V$12)^(AD21-1)+(ENCAISSEMENTS!$H$32*SIG!$I$17/100))*$I$15*(100%-perte_prod)^(AD21-1)</f>
        <v>0</v>
      </c>
      <c r="AE22" s="33">
        <f>((ENCAISSEMENTS!$N$32*ENCAISSEMENTS!$O$12/100)*(100%+ENCAISSEMENTS!$P$12)^(AE21-1)+(ENCAISSEMENTS!$Q$32*ENCAISSEMENTS!$R$12/100)*(100%+ENCAISSEMENTS!$S$12)^(AE21-1)+(ENCAISSEMENTS!$T$32*ENCAISSEMENTS!$U$12/100)*(100%+ENCAISSEMENTS!$V$12)^(AE21-1)+(ENCAISSEMENTS!$H$32*SIG!$I$17/100))*$I$15*(100%-perte_prod)^(AE21-1)</f>
        <v>0</v>
      </c>
      <c r="AF22" s="33">
        <f>((ENCAISSEMENTS!$N$32*ENCAISSEMENTS!$O$12/100)*(100%+ENCAISSEMENTS!$P$12)^(AF21-1)+(ENCAISSEMENTS!$Q$32*ENCAISSEMENTS!$R$12/100)*(100%+ENCAISSEMENTS!$S$12)^(AF21-1)+(ENCAISSEMENTS!$T$32*ENCAISSEMENTS!$U$12/100)*(100%+ENCAISSEMENTS!$V$12)^(AF21-1)+(ENCAISSEMENTS!$H$32*SIG!$I$17/100))*$I$15*(100%-perte_prod)^(AF21-1)</f>
        <v>0</v>
      </c>
      <c r="AG22" s="33">
        <f>((ENCAISSEMENTS!$N$32*ENCAISSEMENTS!$O$12/100)*(100%+ENCAISSEMENTS!$P$12)^(AG21-1)+(ENCAISSEMENTS!$Q$32*ENCAISSEMENTS!$R$12/100)*(100%+ENCAISSEMENTS!$S$12)^(AG21-1)+(ENCAISSEMENTS!$T$32*ENCAISSEMENTS!$U$12/100)*(100%+ENCAISSEMENTS!$V$12)^(AG21-1)+(ENCAISSEMENTS!$H$32*SIG!$I$17/100))*$I$15*(100%-perte_prod)^(AG21-1)</f>
        <v>0</v>
      </c>
      <c r="AM22" s="51">
        <f t="shared" si="3"/>
        <v>610</v>
      </c>
      <c r="AN22" s="51">
        <v>25</v>
      </c>
      <c r="AQ22" s="53">
        <f t="shared" si="4"/>
        <v>0.90000000000000024</v>
      </c>
    </row>
    <row r="23" spans="1:55" s="36" customFormat="1" ht="16.95" customHeight="1">
      <c r="A23" s="311" t="s">
        <v>1</v>
      </c>
      <c r="B23" s="312"/>
      <c r="C23" s="64"/>
      <c r="D23" s="33">
        <f>C14+C13</f>
        <v>3095</v>
      </c>
      <c r="E23" s="33">
        <f t="shared" ref="E23:M23" si="5">$C$13*(1+inflation)^(E21-1)</f>
        <v>2340.9</v>
      </c>
      <c r="F23" s="33">
        <f t="shared" si="5"/>
        <v>2387.7179999999998</v>
      </c>
      <c r="G23" s="33">
        <f t="shared" si="5"/>
        <v>2435.4723599999998</v>
      </c>
      <c r="H23" s="33">
        <f t="shared" si="5"/>
        <v>2484.1818072000001</v>
      </c>
      <c r="I23" s="33">
        <f t="shared" si="5"/>
        <v>2533.8654433440001</v>
      </c>
      <c r="J23" s="33">
        <f t="shared" si="5"/>
        <v>2584.5427522108803</v>
      </c>
      <c r="K23" s="33">
        <f t="shared" si="5"/>
        <v>2636.233607255097</v>
      </c>
      <c r="L23" s="33">
        <f t="shared" si="5"/>
        <v>2688.9582794001994</v>
      </c>
      <c r="M23" s="33">
        <f t="shared" si="5"/>
        <v>2742.7374449882032</v>
      </c>
      <c r="N23" s="33">
        <f>(C15+C13+C16/5)*(1+inflation)^(N21-1)</f>
        <v>2797.5921938879674</v>
      </c>
      <c r="O23" s="33">
        <f>($C$13+C16/5)*(1+inflation)^(O21-1)</f>
        <v>2853.5440377657264</v>
      </c>
      <c r="P23" s="33">
        <f>($C$13+C16/5)*(1+inflation)^(P21-1)</f>
        <v>2910.6149185210415</v>
      </c>
      <c r="Q23" s="33">
        <f>($C$13+C16/5)*(1+inflation)^(Q21-1)</f>
        <v>2968.8272168914618</v>
      </c>
      <c r="R23" s="33">
        <f>($C$13+C16/5)*(1+inflation)^(R21-1)</f>
        <v>3028.2037612292916</v>
      </c>
      <c r="S23" s="33">
        <f t="shared" ref="S23:W23" si="6">$C$13*(1+inflation)^(S21-1)</f>
        <v>3088.7678364538765</v>
      </c>
      <c r="T23" s="33">
        <f t="shared" si="6"/>
        <v>3150.5431931829548</v>
      </c>
      <c r="U23" s="33">
        <f t="shared" si="6"/>
        <v>3213.5540570466142</v>
      </c>
      <c r="V23" s="33">
        <f t="shared" si="6"/>
        <v>3277.8251381875457</v>
      </c>
      <c r="W23" s="33">
        <f t="shared" si="6"/>
        <v>3343.3816409512965</v>
      </c>
      <c r="X23" s="33">
        <f>($C$13)*(1+inflation)^(X21-1)</f>
        <v>3410.2492737703228</v>
      </c>
      <c r="Y23" s="33">
        <f>($C$13+$C$17/5)*(1+inflation)^(Y21-1)</f>
        <v>3478.4542592457292</v>
      </c>
      <c r="Z23" s="33">
        <f>($C$13+$C$17/5)*(1+inflation)^(Z21-1)</f>
        <v>3548.0233444306441</v>
      </c>
      <c r="AA23" s="33">
        <f>($C$13+$C$17/5)*(1+inflation)^(AA21-1)</f>
        <v>3618.9838113192563</v>
      </c>
      <c r="AB23" s="33">
        <f>($C$13+$C$17/5)*(1+inflation)^(AB21-1)</f>
        <v>3691.3634875456414</v>
      </c>
      <c r="AC23" s="33">
        <f>($C$13+$C$17/5)*(1+inflation)^(AC21-1)</f>
        <v>3765.1907572965542</v>
      </c>
      <c r="AD23" s="33">
        <f t="shared" ref="AD23:AG23" si="7">$C$13*(1+inflation)^(AD21-1)</f>
        <v>3840.4945724424856</v>
      </c>
      <c r="AE23" s="33">
        <f t="shared" si="7"/>
        <v>3917.3044638913348</v>
      </c>
      <c r="AF23" s="33">
        <f t="shared" si="7"/>
        <v>3995.6505531691623</v>
      </c>
      <c r="AG23" s="33">
        <f t="shared" si="7"/>
        <v>4075.5635642325451</v>
      </c>
      <c r="AL23" s="51"/>
      <c r="AM23" s="51">
        <f t="shared" si="3"/>
        <v>620</v>
      </c>
      <c r="AN23" s="51"/>
      <c r="AO23" s="51"/>
      <c r="AP23" s="51"/>
      <c r="AQ23" s="53">
        <f t="shared" si="4"/>
        <v>0.95000000000000029</v>
      </c>
      <c r="AR23" s="51"/>
      <c r="AS23" s="51"/>
      <c r="AT23" s="51"/>
    </row>
    <row r="24" spans="1:55" ht="16.95" customHeight="1">
      <c r="A24" s="319" t="s">
        <v>5</v>
      </c>
      <c r="B24" s="320"/>
      <c r="C24" s="66"/>
      <c r="D24" s="35">
        <f>D22-D23</f>
        <v>-3095</v>
      </c>
      <c r="E24" s="35">
        <f t="shared" ref="E24:AG24" si="8">E22-E23</f>
        <v>-2340.9</v>
      </c>
      <c r="F24" s="35">
        <f t="shared" si="8"/>
        <v>-2387.7179999999998</v>
      </c>
      <c r="G24" s="35">
        <f t="shared" si="8"/>
        <v>-2435.4723599999998</v>
      </c>
      <c r="H24" s="35">
        <f t="shared" si="8"/>
        <v>-2484.1818072000001</v>
      </c>
      <c r="I24" s="35">
        <f t="shared" si="8"/>
        <v>-2533.8654433440001</v>
      </c>
      <c r="J24" s="35">
        <f t="shared" si="8"/>
        <v>-2584.5427522108803</v>
      </c>
      <c r="K24" s="35">
        <f t="shared" si="8"/>
        <v>-2636.233607255097</v>
      </c>
      <c r="L24" s="35">
        <f t="shared" si="8"/>
        <v>-2688.9582794001994</v>
      </c>
      <c r="M24" s="35">
        <f t="shared" si="8"/>
        <v>-2742.7374449882032</v>
      </c>
      <c r="N24" s="35">
        <f t="shared" si="8"/>
        <v>-2797.5921938879674</v>
      </c>
      <c r="O24" s="35">
        <f t="shared" si="8"/>
        <v>-2853.5440377657264</v>
      </c>
      <c r="P24" s="35">
        <f t="shared" si="8"/>
        <v>-2910.6149185210415</v>
      </c>
      <c r="Q24" s="35">
        <f t="shared" si="8"/>
        <v>-2968.8272168914618</v>
      </c>
      <c r="R24" s="35">
        <f t="shared" si="8"/>
        <v>-3028.2037612292916</v>
      </c>
      <c r="S24" s="35">
        <f t="shared" si="8"/>
        <v>-3088.7678364538765</v>
      </c>
      <c r="T24" s="35">
        <f t="shared" si="8"/>
        <v>-3150.5431931829548</v>
      </c>
      <c r="U24" s="35">
        <f t="shared" si="8"/>
        <v>-3213.5540570466142</v>
      </c>
      <c r="V24" s="35">
        <f t="shared" si="8"/>
        <v>-3277.8251381875457</v>
      </c>
      <c r="W24" s="35">
        <f t="shared" si="8"/>
        <v>-3343.3816409512965</v>
      </c>
      <c r="X24" s="35">
        <f t="shared" si="8"/>
        <v>-3410.2492737703228</v>
      </c>
      <c r="Y24" s="35">
        <f t="shared" si="8"/>
        <v>-3478.4542592457292</v>
      </c>
      <c r="Z24" s="35">
        <f t="shared" si="8"/>
        <v>-3548.0233444306441</v>
      </c>
      <c r="AA24" s="35">
        <f t="shared" si="8"/>
        <v>-3618.9838113192563</v>
      </c>
      <c r="AB24" s="35">
        <f t="shared" si="8"/>
        <v>-3691.3634875456414</v>
      </c>
      <c r="AC24" s="35">
        <f t="shared" si="8"/>
        <v>-3765.1907572965542</v>
      </c>
      <c r="AD24" s="35">
        <f t="shared" si="8"/>
        <v>-3840.4945724424856</v>
      </c>
      <c r="AE24" s="35">
        <f t="shared" si="8"/>
        <v>-3917.3044638913348</v>
      </c>
      <c r="AF24" s="35">
        <f t="shared" si="8"/>
        <v>-3995.6505531691623</v>
      </c>
      <c r="AG24" s="35">
        <f t="shared" si="8"/>
        <v>-4075.5635642325451</v>
      </c>
      <c r="AM24" s="51">
        <f t="shared" si="3"/>
        <v>630</v>
      </c>
      <c r="AQ24" s="53">
        <f t="shared" si="4"/>
        <v>1.0000000000000002</v>
      </c>
    </row>
    <row r="25" spans="1:55" s="36" customFormat="1" ht="16.95" customHeight="1">
      <c r="A25" s="311" t="s">
        <v>157</v>
      </c>
      <c r="B25" s="312"/>
      <c r="C25" s="64"/>
      <c r="D25" s="33">
        <f>$I$16+DECAISSEMENTS!$I$58</f>
        <v>400</v>
      </c>
      <c r="E25" s="33">
        <f>$I$16+DECAISSEMENTS!$I$58</f>
        <v>400</v>
      </c>
      <c r="F25" s="33">
        <f>$I$16+DECAISSEMENTS!$I$58</f>
        <v>400</v>
      </c>
      <c r="G25" s="33">
        <f>$I$16+DECAISSEMENTS!$I$58</f>
        <v>400</v>
      </c>
      <c r="H25" s="33">
        <f>$I$16+DECAISSEMENTS!$I$58</f>
        <v>400</v>
      </c>
      <c r="I25" s="33">
        <f>$I$16+DECAISSEMENTS!$I$58</f>
        <v>400</v>
      </c>
      <c r="J25" s="33">
        <f>$I$16+DECAISSEMENTS!$I$58</f>
        <v>400</v>
      </c>
      <c r="K25" s="33">
        <f>$I$16+DECAISSEMENTS!$I$58</f>
        <v>400</v>
      </c>
      <c r="L25" s="33">
        <f>$I$16+DECAISSEMENTS!$I$58</f>
        <v>400</v>
      </c>
      <c r="M25" s="33">
        <f>$I$16+DECAISSEMENTS!$I$58</f>
        <v>400</v>
      </c>
      <c r="N25" s="33">
        <f>$I$16+DECAISSEMENTS!$I$58</f>
        <v>400</v>
      </c>
      <c r="O25" s="33">
        <f>$I$16+DECAISSEMENTS!$I$58</f>
        <v>400</v>
      </c>
      <c r="P25" s="33">
        <f>$I$16+DECAISSEMENTS!$I$58</f>
        <v>400</v>
      </c>
      <c r="Q25" s="33">
        <f>$I$16+DECAISSEMENTS!$I$58</f>
        <v>400</v>
      </c>
      <c r="R25" s="33">
        <f>$I$16+DECAISSEMENTS!$I$58</f>
        <v>400</v>
      </c>
      <c r="S25" s="33">
        <f>$I$16+DECAISSEMENTS!$I$58</f>
        <v>400</v>
      </c>
      <c r="T25" s="33">
        <f>$I$16+DECAISSEMENTS!$I$58</f>
        <v>400</v>
      </c>
      <c r="U25" s="33">
        <f>$I$16+DECAISSEMENTS!$I$58</f>
        <v>400</v>
      </c>
      <c r="V25" s="33">
        <f>$I$16+DECAISSEMENTS!$I$58</f>
        <v>400</v>
      </c>
      <c r="W25" s="33">
        <f>$I$16+DECAISSEMENTS!$I$58</f>
        <v>400</v>
      </c>
      <c r="X25" s="33">
        <f>$I$16+DECAISSEMENTS!$I$58</f>
        <v>400</v>
      </c>
      <c r="Y25" s="33">
        <f>$I$16+DECAISSEMENTS!$I$58</f>
        <v>400</v>
      </c>
      <c r="Z25" s="33">
        <f>$I$16+DECAISSEMENTS!$I$58</f>
        <v>400</v>
      </c>
      <c r="AA25" s="33">
        <f>$I$16+DECAISSEMENTS!$I$58</f>
        <v>400</v>
      </c>
      <c r="AB25" s="33">
        <f>$I$16+DECAISSEMENTS!$I$58</f>
        <v>400</v>
      </c>
      <c r="AC25" s="33">
        <f>$I$16+DECAISSEMENTS!$I$58</f>
        <v>400</v>
      </c>
      <c r="AD25" s="33">
        <f>$I$16+DECAISSEMENTS!$I$58</f>
        <v>400</v>
      </c>
      <c r="AE25" s="33">
        <f>$I$16+DECAISSEMENTS!$I$58</f>
        <v>400</v>
      </c>
      <c r="AF25" s="33">
        <f>$I$16+DECAISSEMENTS!$I$58</f>
        <v>400</v>
      </c>
      <c r="AG25" s="33">
        <f>$I$16+DECAISSEMENTS!$I$58</f>
        <v>400</v>
      </c>
      <c r="AL25" s="51"/>
      <c r="AM25" s="51">
        <f t="shared" si="3"/>
        <v>640</v>
      </c>
      <c r="AN25" s="51"/>
      <c r="AO25" s="51"/>
      <c r="AP25" s="51"/>
      <c r="AQ25" s="53"/>
      <c r="AR25" s="51"/>
      <c r="AS25" s="51"/>
      <c r="AT25" s="51"/>
    </row>
    <row r="26" spans="1:55" ht="16.95" customHeight="1">
      <c r="A26" s="319" t="s">
        <v>6</v>
      </c>
      <c r="B26" s="320"/>
      <c r="C26" s="66"/>
      <c r="D26" s="35">
        <f>D24-D25</f>
        <v>-3495</v>
      </c>
      <c r="E26" s="35">
        <f t="shared" ref="E26:I26" si="9">E24-E25</f>
        <v>-2740.9</v>
      </c>
      <c r="F26" s="35">
        <f t="shared" si="9"/>
        <v>-2787.7179999999998</v>
      </c>
      <c r="G26" s="35">
        <f t="shared" si="9"/>
        <v>-2835.4723599999998</v>
      </c>
      <c r="H26" s="35">
        <f t="shared" si="9"/>
        <v>-2884.1818072000001</v>
      </c>
      <c r="I26" s="35">
        <f t="shared" si="9"/>
        <v>-2933.8654433440001</v>
      </c>
      <c r="J26" s="35">
        <f t="shared" ref="J26" si="10">J24-J25</f>
        <v>-2984.5427522108803</v>
      </c>
      <c r="K26" s="35">
        <f t="shared" ref="K26" si="11">K24-K25</f>
        <v>-3036.233607255097</v>
      </c>
      <c r="L26" s="35">
        <f t="shared" ref="L26" si="12">L24-L25</f>
        <v>-3088.9582794001994</v>
      </c>
      <c r="M26" s="35">
        <f t="shared" ref="M26" si="13">M24-M25</f>
        <v>-3142.7374449882032</v>
      </c>
      <c r="N26" s="35">
        <f t="shared" ref="N26" si="14">N24-N25</f>
        <v>-3197.5921938879674</v>
      </c>
      <c r="O26" s="35">
        <f t="shared" ref="O26" si="15">O24-O25</f>
        <v>-3253.5440377657264</v>
      </c>
      <c r="P26" s="35">
        <f t="shared" ref="P26" si="16">P24-P25</f>
        <v>-3310.6149185210415</v>
      </c>
      <c r="Q26" s="35">
        <f t="shared" ref="Q26" si="17">Q24-Q25</f>
        <v>-3368.8272168914618</v>
      </c>
      <c r="R26" s="35">
        <f t="shared" ref="R26" si="18">R24-R25</f>
        <v>-3428.2037612292916</v>
      </c>
      <c r="S26" s="35">
        <f t="shared" ref="S26" si="19">S24-S25</f>
        <v>-3488.7678364538765</v>
      </c>
      <c r="T26" s="35">
        <f t="shared" ref="T26" si="20">T24-T25</f>
        <v>-3550.5431931829548</v>
      </c>
      <c r="U26" s="35">
        <f t="shared" ref="U26" si="21">U24-U25</f>
        <v>-3613.5540570466142</v>
      </c>
      <c r="V26" s="35">
        <f t="shared" ref="V26" si="22">V24-V25</f>
        <v>-3677.8251381875457</v>
      </c>
      <c r="W26" s="35">
        <f t="shared" ref="W26:AG26" si="23">W24-W25</f>
        <v>-3743.3816409512965</v>
      </c>
      <c r="X26" s="35">
        <f t="shared" si="23"/>
        <v>-3810.2492737703228</v>
      </c>
      <c r="Y26" s="35">
        <f t="shared" si="23"/>
        <v>-3878.4542592457292</v>
      </c>
      <c r="Z26" s="35">
        <f t="shared" si="23"/>
        <v>-3948.0233444306441</v>
      </c>
      <c r="AA26" s="35">
        <f t="shared" si="23"/>
        <v>-4018.9838113192563</v>
      </c>
      <c r="AB26" s="35">
        <f t="shared" si="23"/>
        <v>-4091.3634875456414</v>
      </c>
      <c r="AC26" s="35">
        <f t="shared" si="23"/>
        <v>-4165.1907572965538</v>
      </c>
      <c r="AD26" s="35">
        <f t="shared" si="23"/>
        <v>-4240.4945724424852</v>
      </c>
      <c r="AE26" s="35">
        <f t="shared" si="23"/>
        <v>-4317.3044638913343</v>
      </c>
      <c r="AF26" s="35">
        <f t="shared" si="23"/>
        <v>-4395.6505531691619</v>
      </c>
      <c r="AG26" s="35">
        <f t="shared" si="23"/>
        <v>-4475.5635642325451</v>
      </c>
      <c r="AM26" s="51">
        <f t="shared" si="3"/>
        <v>650</v>
      </c>
      <c r="AQ26" s="53"/>
    </row>
    <row r="27" spans="1:55" ht="14.4">
      <c r="A27" s="311" t="s">
        <v>7</v>
      </c>
      <c r="B27" s="312"/>
      <c r="C27" s="64"/>
      <c r="D27" s="33">
        <f>($C$11-$M$14)/20</f>
        <v>0</v>
      </c>
      <c r="E27" s="33">
        <f t="shared" ref="E27:V27" si="24">($C$11-$M$14)/20</f>
        <v>0</v>
      </c>
      <c r="F27" s="33">
        <f t="shared" si="24"/>
        <v>0</v>
      </c>
      <c r="G27" s="33">
        <f t="shared" si="24"/>
        <v>0</v>
      </c>
      <c r="H27" s="33">
        <f t="shared" si="24"/>
        <v>0</v>
      </c>
      <c r="I27" s="33">
        <f t="shared" si="24"/>
        <v>0</v>
      </c>
      <c r="J27" s="33">
        <f t="shared" si="24"/>
        <v>0</v>
      </c>
      <c r="K27" s="33">
        <f t="shared" si="24"/>
        <v>0</v>
      </c>
      <c r="L27" s="33">
        <f t="shared" si="24"/>
        <v>0</v>
      </c>
      <c r="M27" s="33">
        <f t="shared" si="24"/>
        <v>0</v>
      </c>
      <c r="N27" s="33">
        <f t="shared" si="24"/>
        <v>0</v>
      </c>
      <c r="O27" s="33">
        <f t="shared" si="24"/>
        <v>0</v>
      </c>
      <c r="P27" s="33">
        <f t="shared" si="24"/>
        <v>0</v>
      </c>
      <c r="Q27" s="33">
        <f t="shared" si="24"/>
        <v>0</v>
      </c>
      <c r="R27" s="33">
        <f t="shared" si="24"/>
        <v>0</v>
      </c>
      <c r="S27" s="33">
        <f t="shared" si="24"/>
        <v>0</v>
      </c>
      <c r="T27" s="33">
        <f t="shared" si="24"/>
        <v>0</v>
      </c>
      <c r="U27" s="33">
        <f t="shared" si="24"/>
        <v>0</v>
      </c>
      <c r="V27" s="33">
        <f t="shared" si="24"/>
        <v>0</v>
      </c>
      <c r="W27" s="33">
        <f>($C$11-$M$14)/20</f>
        <v>0</v>
      </c>
      <c r="X27" s="33">
        <v>0</v>
      </c>
      <c r="Y27" s="33">
        <v>0</v>
      </c>
      <c r="Z27" s="33">
        <v>0</v>
      </c>
      <c r="AA27" s="33">
        <v>0</v>
      </c>
      <c r="AB27" s="33">
        <v>0</v>
      </c>
      <c r="AC27" s="33">
        <v>0</v>
      </c>
      <c r="AD27" s="33">
        <v>0</v>
      </c>
      <c r="AE27" s="33">
        <v>0</v>
      </c>
      <c r="AF27" s="33">
        <v>0</v>
      </c>
      <c r="AG27" s="33">
        <v>0</v>
      </c>
      <c r="AM27" s="51">
        <f t="shared" si="3"/>
        <v>660</v>
      </c>
      <c r="AQ27" s="53"/>
    </row>
    <row r="28" spans="1:55" s="36" customFormat="1" ht="16.95" customHeight="1">
      <c r="A28" s="312" t="s">
        <v>8</v>
      </c>
      <c r="B28" s="318"/>
      <c r="C28" s="65"/>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L28" s="51"/>
      <c r="AM28" s="51">
        <f t="shared" si="3"/>
        <v>670</v>
      </c>
      <c r="AN28" s="51"/>
      <c r="AO28" s="51"/>
      <c r="AP28" s="51"/>
      <c r="AQ28" s="53"/>
      <c r="AR28" s="51"/>
      <c r="AS28" s="51"/>
      <c r="AT28" s="51"/>
    </row>
    <row r="29" spans="1:55" ht="16.95" customHeight="1">
      <c r="A29" s="319" t="s">
        <v>9</v>
      </c>
      <c r="B29" s="320"/>
      <c r="C29" s="66"/>
      <c r="D29" s="35">
        <f t="shared" ref="D29:AG29" si="25">D26-D27-D28</f>
        <v>-3495</v>
      </c>
      <c r="E29" s="35">
        <f t="shared" si="25"/>
        <v>-2740.9</v>
      </c>
      <c r="F29" s="35">
        <f t="shared" si="25"/>
        <v>-2787.7179999999998</v>
      </c>
      <c r="G29" s="35">
        <f t="shared" si="25"/>
        <v>-2835.4723599999998</v>
      </c>
      <c r="H29" s="35">
        <f t="shared" si="25"/>
        <v>-2884.1818072000001</v>
      </c>
      <c r="I29" s="35">
        <f t="shared" si="25"/>
        <v>-2933.8654433440001</v>
      </c>
      <c r="J29" s="35">
        <f t="shared" si="25"/>
        <v>-2984.5427522108803</v>
      </c>
      <c r="K29" s="35">
        <f t="shared" si="25"/>
        <v>-3036.233607255097</v>
      </c>
      <c r="L29" s="35">
        <f t="shared" si="25"/>
        <v>-3088.9582794001994</v>
      </c>
      <c r="M29" s="35">
        <f t="shared" si="25"/>
        <v>-3142.7374449882032</v>
      </c>
      <c r="N29" s="35">
        <f t="shared" si="25"/>
        <v>-3197.5921938879674</v>
      </c>
      <c r="O29" s="35">
        <f t="shared" si="25"/>
        <v>-3253.5440377657264</v>
      </c>
      <c r="P29" s="35">
        <f t="shared" si="25"/>
        <v>-3310.6149185210415</v>
      </c>
      <c r="Q29" s="35">
        <f t="shared" si="25"/>
        <v>-3368.8272168914618</v>
      </c>
      <c r="R29" s="35">
        <f t="shared" si="25"/>
        <v>-3428.2037612292916</v>
      </c>
      <c r="S29" s="35">
        <f t="shared" si="25"/>
        <v>-3488.7678364538765</v>
      </c>
      <c r="T29" s="35">
        <f t="shared" si="25"/>
        <v>-3550.5431931829548</v>
      </c>
      <c r="U29" s="35">
        <f t="shared" si="25"/>
        <v>-3613.5540570466142</v>
      </c>
      <c r="V29" s="35">
        <f t="shared" si="25"/>
        <v>-3677.8251381875457</v>
      </c>
      <c r="W29" s="35">
        <f t="shared" si="25"/>
        <v>-3743.3816409512965</v>
      </c>
      <c r="X29" s="35">
        <f t="shared" si="25"/>
        <v>-3810.2492737703228</v>
      </c>
      <c r="Y29" s="35">
        <f t="shared" si="25"/>
        <v>-3878.4542592457292</v>
      </c>
      <c r="Z29" s="35">
        <f t="shared" si="25"/>
        <v>-3948.0233444306441</v>
      </c>
      <c r="AA29" s="35">
        <f t="shared" si="25"/>
        <v>-4018.9838113192563</v>
      </c>
      <c r="AB29" s="35">
        <f t="shared" si="25"/>
        <v>-4091.3634875456414</v>
      </c>
      <c r="AC29" s="35">
        <f t="shared" si="25"/>
        <v>-4165.1907572965538</v>
      </c>
      <c r="AD29" s="35">
        <f t="shared" si="25"/>
        <v>-4240.4945724424852</v>
      </c>
      <c r="AE29" s="35">
        <f t="shared" si="25"/>
        <v>-4317.3044638913343</v>
      </c>
      <c r="AF29" s="35">
        <f t="shared" si="25"/>
        <v>-4395.6505531691619</v>
      </c>
      <c r="AG29" s="35">
        <f t="shared" si="25"/>
        <v>-4475.5635642325451</v>
      </c>
      <c r="AM29" s="51">
        <f t="shared" si="3"/>
        <v>680</v>
      </c>
      <c r="AQ29" s="53"/>
    </row>
    <row r="30" spans="1:55" ht="14.4">
      <c r="A30" s="314" t="s">
        <v>13</v>
      </c>
      <c r="B30" s="315"/>
      <c r="C30" s="63"/>
      <c r="D30" s="33">
        <f t="shared" ref="D30:W30" si="26">IF(D21&lt;=$M$13,-IPMT($M$12,D21,$M$13,$M$11),0)</f>
        <v>0</v>
      </c>
      <c r="E30" s="33">
        <f t="shared" si="26"/>
        <v>0</v>
      </c>
      <c r="F30" s="33">
        <f t="shared" si="26"/>
        <v>0</v>
      </c>
      <c r="G30" s="33">
        <f t="shared" si="26"/>
        <v>0</v>
      </c>
      <c r="H30" s="33">
        <f t="shared" si="26"/>
        <v>0</v>
      </c>
      <c r="I30" s="33">
        <f t="shared" si="26"/>
        <v>0</v>
      </c>
      <c r="J30" s="33">
        <f t="shared" si="26"/>
        <v>0</v>
      </c>
      <c r="K30" s="33">
        <f t="shared" si="26"/>
        <v>0</v>
      </c>
      <c r="L30" s="33">
        <f t="shared" si="26"/>
        <v>0</v>
      </c>
      <c r="M30" s="33">
        <f t="shared" si="26"/>
        <v>0</v>
      </c>
      <c r="N30" s="33">
        <f t="shared" si="26"/>
        <v>0</v>
      </c>
      <c r="O30" s="33">
        <f t="shared" si="26"/>
        <v>0</v>
      </c>
      <c r="P30" s="33">
        <f t="shared" si="26"/>
        <v>0</v>
      </c>
      <c r="Q30" s="33">
        <f t="shared" si="26"/>
        <v>0</v>
      </c>
      <c r="R30" s="33">
        <f t="shared" si="26"/>
        <v>0</v>
      </c>
      <c r="S30" s="33">
        <f t="shared" si="26"/>
        <v>0</v>
      </c>
      <c r="T30" s="33">
        <f t="shared" si="26"/>
        <v>0</v>
      </c>
      <c r="U30" s="33">
        <f t="shared" si="26"/>
        <v>0</v>
      </c>
      <c r="V30" s="33">
        <f t="shared" si="26"/>
        <v>0</v>
      </c>
      <c r="W30" s="33">
        <f t="shared" si="26"/>
        <v>0</v>
      </c>
      <c r="X30" s="33">
        <f t="shared" ref="X30:AG30" si="27">IF(X21&lt;=$M$13,-IPMT($M$12,X21,$M$13,$M$11),0)</f>
        <v>0</v>
      </c>
      <c r="Y30" s="33">
        <f t="shared" si="27"/>
        <v>0</v>
      </c>
      <c r="Z30" s="33">
        <f t="shared" si="27"/>
        <v>0</v>
      </c>
      <c r="AA30" s="33">
        <f t="shared" si="27"/>
        <v>0</v>
      </c>
      <c r="AB30" s="33">
        <f t="shared" si="27"/>
        <v>0</v>
      </c>
      <c r="AC30" s="33">
        <f t="shared" si="27"/>
        <v>0</v>
      </c>
      <c r="AD30" s="33">
        <f t="shared" si="27"/>
        <v>0</v>
      </c>
      <c r="AE30" s="33">
        <f t="shared" si="27"/>
        <v>0</v>
      </c>
      <c r="AF30" s="33">
        <f t="shared" si="27"/>
        <v>0</v>
      </c>
      <c r="AG30" s="33">
        <f t="shared" si="27"/>
        <v>0</v>
      </c>
      <c r="AM30" s="51">
        <f t="shared" si="3"/>
        <v>690</v>
      </c>
      <c r="AQ30" s="53"/>
    </row>
    <row r="31" spans="1:55" s="36" customFormat="1" ht="16.95" customHeight="1">
      <c r="A31" s="311" t="s">
        <v>62</v>
      </c>
      <c r="B31" s="312"/>
      <c r="C31" s="64"/>
      <c r="D31" s="33">
        <f t="shared" ref="D31:W31" si="28">IF(D21&lt;=$Q$10,$Q$9*$Q$8,0)</f>
        <v>0</v>
      </c>
      <c r="E31" s="33">
        <f t="shared" si="28"/>
        <v>0</v>
      </c>
      <c r="F31" s="33">
        <f t="shared" si="28"/>
        <v>0</v>
      </c>
      <c r="G31" s="33">
        <f t="shared" si="28"/>
        <v>0</v>
      </c>
      <c r="H31" s="33">
        <f t="shared" si="28"/>
        <v>0</v>
      </c>
      <c r="I31" s="33">
        <f t="shared" si="28"/>
        <v>0</v>
      </c>
      <c r="J31" s="33">
        <f t="shared" si="28"/>
        <v>0</v>
      </c>
      <c r="K31" s="33">
        <f t="shared" si="28"/>
        <v>0</v>
      </c>
      <c r="L31" s="33">
        <f t="shared" si="28"/>
        <v>0</v>
      </c>
      <c r="M31" s="33">
        <f t="shared" si="28"/>
        <v>0</v>
      </c>
      <c r="N31" s="33">
        <f t="shared" si="28"/>
        <v>0</v>
      </c>
      <c r="O31" s="33">
        <f t="shared" si="28"/>
        <v>0</v>
      </c>
      <c r="P31" s="33">
        <f t="shared" si="28"/>
        <v>0</v>
      </c>
      <c r="Q31" s="33">
        <f t="shared" si="28"/>
        <v>0</v>
      </c>
      <c r="R31" s="33">
        <f t="shared" si="28"/>
        <v>0</v>
      </c>
      <c r="S31" s="33">
        <f t="shared" si="28"/>
        <v>0</v>
      </c>
      <c r="T31" s="33">
        <f t="shared" si="28"/>
        <v>0</v>
      </c>
      <c r="U31" s="33">
        <f t="shared" si="28"/>
        <v>0</v>
      </c>
      <c r="V31" s="33">
        <f t="shared" si="28"/>
        <v>0</v>
      </c>
      <c r="W31" s="33">
        <f t="shared" si="28"/>
        <v>0</v>
      </c>
      <c r="X31" s="33">
        <f t="shared" ref="X31:AG31" si="29">IF(X21&lt;=$Q$10,$Q$9*$Q$8,0)</f>
        <v>0</v>
      </c>
      <c r="Y31" s="33">
        <f t="shared" si="29"/>
        <v>0</v>
      </c>
      <c r="Z31" s="33">
        <f t="shared" si="29"/>
        <v>0</v>
      </c>
      <c r="AA31" s="33">
        <f t="shared" si="29"/>
        <v>0</v>
      </c>
      <c r="AB31" s="33">
        <f t="shared" si="29"/>
        <v>0</v>
      </c>
      <c r="AC31" s="33">
        <f t="shared" si="29"/>
        <v>0</v>
      </c>
      <c r="AD31" s="33">
        <f t="shared" si="29"/>
        <v>0</v>
      </c>
      <c r="AE31" s="33">
        <f t="shared" si="29"/>
        <v>0</v>
      </c>
      <c r="AF31" s="33">
        <f t="shared" si="29"/>
        <v>0</v>
      </c>
      <c r="AG31" s="33">
        <f t="shared" si="29"/>
        <v>0</v>
      </c>
      <c r="AL31" s="51"/>
      <c r="AM31" s="51">
        <f t="shared" si="3"/>
        <v>700</v>
      </c>
      <c r="AN31" s="51"/>
      <c r="AO31" s="51"/>
      <c r="AP31" s="51"/>
      <c r="AQ31" s="53"/>
      <c r="AR31" s="51"/>
      <c r="AS31" s="51"/>
      <c r="AT31" s="51"/>
    </row>
    <row r="32" spans="1:55" ht="14.4">
      <c r="A32" s="319" t="s">
        <v>10</v>
      </c>
      <c r="B32" s="320"/>
      <c r="C32" s="66"/>
      <c r="D32" s="35">
        <f t="shared" ref="D32:AG32" si="30">D29-D30-D31</f>
        <v>-3495</v>
      </c>
      <c r="E32" s="35">
        <f t="shared" si="30"/>
        <v>-2740.9</v>
      </c>
      <c r="F32" s="35">
        <f t="shared" si="30"/>
        <v>-2787.7179999999998</v>
      </c>
      <c r="G32" s="35">
        <f t="shared" si="30"/>
        <v>-2835.4723599999998</v>
      </c>
      <c r="H32" s="35">
        <f t="shared" si="30"/>
        <v>-2884.1818072000001</v>
      </c>
      <c r="I32" s="35">
        <f t="shared" si="30"/>
        <v>-2933.8654433440001</v>
      </c>
      <c r="J32" s="35">
        <f t="shared" si="30"/>
        <v>-2984.5427522108803</v>
      </c>
      <c r="K32" s="35">
        <f t="shared" si="30"/>
        <v>-3036.233607255097</v>
      </c>
      <c r="L32" s="35">
        <f t="shared" si="30"/>
        <v>-3088.9582794001994</v>
      </c>
      <c r="M32" s="35">
        <f t="shared" si="30"/>
        <v>-3142.7374449882032</v>
      </c>
      <c r="N32" s="35">
        <f t="shared" si="30"/>
        <v>-3197.5921938879674</v>
      </c>
      <c r="O32" s="35">
        <f t="shared" si="30"/>
        <v>-3253.5440377657264</v>
      </c>
      <c r="P32" s="35">
        <f t="shared" si="30"/>
        <v>-3310.6149185210415</v>
      </c>
      <c r="Q32" s="35">
        <f t="shared" si="30"/>
        <v>-3368.8272168914618</v>
      </c>
      <c r="R32" s="35">
        <f t="shared" si="30"/>
        <v>-3428.2037612292916</v>
      </c>
      <c r="S32" s="35">
        <f t="shared" si="30"/>
        <v>-3488.7678364538765</v>
      </c>
      <c r="T32" s="35">
        <f t="shared" si="30"/>
        <v>-3550.5431931829548</v>
      </c>
      <c r="U32" s="35">
        <f t="shared" si="30"/>
        <v>-3613.5540570466142</v>
      </c>
      <c r="V32" s="35">
        <f t="shared" si="30"/>
        <v>-3677.8251381875457</v>
      </c>
      <c r="W32" s="35">
        <f t="shared" si="30"/>
        <v>-3743.3816409512965</v>
      </c>
      <c r="X32" s="35">
        <f t="shared" si="30"/>
        <v>-3810.2492737703228</v>
      </c>
      <c r="Y32" s="35">
        <f t="shared" si="30"/>
        <v>-3878.4542592457292</v>
      </c>
      <c r="Z32" s="35">
        <f t="shared" si="30"/>
        <v>-3948.0233444306441</v>
      </c>
      <c r="AA32" s="35">
        <f t="shared" si="30"/>
        <v>-4018.9838113192563</v>
      </c>
      <c r="AB32" s="35">
        <f t="shared" si="30"/>
        <v>-4091.3634875456414</v>
      </c>
      <c r="AC32" s="35">
        <f t="shared" si="30"/>
        <v>-4165.1907572965538</v>
      </c>
      <c r="AD32" s="35">
        <f t="shared" si="30"/>
        <v>-4240.4945724424852</v>
      </c>
      <c r="AE32" s="35">
        <f t="shared" si="30"/>
        <v>-4317.3044638913343</v>
      </c>
      <c r="AF32" s="35">
        <f t="shared" si="30"/>
        <v>-4395.6505531691619</v>
      </c>
      <c r="AG32" s="35">
        <f t="shared" si="30"/>
        <v>-4475.5635642325451</v>
      </c>
      <c r="AM32" s="51">
        <f t="shared" si="3"/>
        <v>710</v>
      </c>
      <c r="AQ32" s="53"/>
    </row>
    <row r="33" spans="1:46" ht="14.4">
      <c r="A33" s="311" t="s">
        <v>46</v>
      </c>
      <c r="B33" s="312"/>
      <c r="C33" s="64"/>
      <c r="D33" s="33">
        <f>IF(D32&lt;0,D32,0)</f>
        <v>-3495</v>
      </c>
      <c r="E33" s="33">
        <f>IF(D33+E32&lt;0,D33+E32,0)</f>
        <v>-6235.9</v>
      </c>
      <c r="F33" s="33">
        <f t="shared" ref="F33:H33" si="31">IF(E33+F32&lt;0,E33+F32,0)</f>
        <v>-9023.6179999999986</v>
      </c>
      <c r="G33" s="33">
        <f t="shared" si="31"/>
        <v>-11859.090359999998</v>
      </c>
      <c r="H33" s="33">
        <f t="shared" si="31"/>
        <v>-14743.272167199999</v>
      </c>
      <c r="I33" s="33">
        <f t="shared" ref="I33" si="32">IF(H33+I32&lt;0,H33+I32,0)</f>
        <v>-17677.137610543999</v>
      </c>
      <c r="J33" s="33">
        <f t="shared" ref="J33:K33" si="33">IF(I33+J32&lt;0,I33+J32,0)</f>
        <v>-20661.68036275488</v>
      </c>
      <c r="K33" s="33">
        <f t="shared" si="33"/>
        <v>-23697.913970009977</v>
      </c>
      <c r="L33" s="33">
        <f t="shared" ref="L33" si="34">IF(K33+L32&lt;0,K33+L32,0)</f>
        <v>-26786.872249410175</v>
      </c>
      <c r="M33" s="33">
        <f t="shared" ref="M33:N33" si="35">IF(L33+M32&lt;0,L33+M32,0)</f>
        <v>-29929.609694398379</v>
      </c>
      <c r="N33" s="33">
        <f t="shared" si="35"/>
        <v>-33127.201888286349</v>
      </c>
      <c r="O33" s="33">
        <f t="shared" ref="O33" si="36">IF(N33+O32&lt;0,N33+O32,0)</f>
        <v>-36380.745926052077</v>
      </c>
      <c r="P33" s="33">
        <f t="shared" ref="P33:Q33" si="37">IF(O33+P32&lt;0,O33+P32,0)</f>
        <v>-39691.360844573122</v>
      </c>
      <c r="Q33" s="33">
        <f t="shared" si="37"/>
        <v>-43060.188061464585</v>
      </c>
      <c r="R33" s="33">
        <f t="shared" ref="R33" si="38">IF(Q33+R32&lt;0,Q33+R32,0)</f>
        <v>-46488.391822693877</v>
      </c>
      <c r="S33" s="33">
        <f t="shared" ref="S33:T33" si="39">IF(R33+S32&lt;0,R33+S32,0)</f>
        <v>-49977.15965914775</v>
      </c>
      <c r="T33" s="33">
        <f t="shared" si="39"/>
        <v>-53527.702852330702</v>
      </c>
      <c r="U33" s="33">
        <f t="shared" ref="U33" si="40">IF(T33+U32&lt;0,T33+U32,0)</f>
        <v>-57141.256909377313</v>
      </c>
      <c r="V33" s="33">
        <f t="shared" ref="V33" si="41">IF(U33+V32&lt;0,U33+V32,0)</f>
        <v>-60819.082047564858</v>
      </c>
      <c r="W33" s="33">
        <f>IF(V33+W32&lt;0,V33+W32,0)</f>
        <v>-64562.463688516153</v>
      </c>
      <c r="X33" s="33">
        <f t="shared" ref="X33:AG33" si="42">IF(W33+X32&lt;0,W33+X32,0)</f>
        <v>-68372.712962286474</v>
      </c>
      <c r="Y33" s="33">
        <f t="shared" si="42"/>
        <v>-72251.167221532203</v>
      </c>
      <c r="Z33" s="33">
        <f t="shared" si="42"/>
        <v>-76199.190565962854</v>
      </c>
      <c r="AA33" s="33">
        <f t="shared" si="42"/>
        <v>-80218.174377282106</v>
      </c>
      <c r="AB33" s="33">
        <f t="shared" si="42"/>
        <v>-84309.537864827755</v>
      </c>
      <c r="AC33" s="33">
        <f t="shared" si="42"/>
        <v>-88474.728622124312</v>
      </c>
      <c r="AD33" s="33">
        <f t="shared" si="42"/>
        <v>-92715.223194566803</v>
      </c>
      <c r="AE33" s="33">
        <f t="shared" si="42"/>
        <v>-97032.52765845813</v>
      </c>
      <c r="AF33" s="33">
        <f t="shared" si="42"/>
        <v>-101428.1782116273</v>
      </c>
      <c r="AG33" s="33">
        <f t="shared" si="42"/>
        <v>-105903.74177585985</v>
      </c>
      <c r="AM33" s="51">
        <f t="shared" si="3"/>
        <v>720</v>
      </c>
      <c r="AQ33" s="53"/>
    </row>
    <row r="34" spans="1:46" s="36" customFormat="1" ht="16.95" customHeight="1">
      <c r="A34" s="311" t="s">
        <v>73</v>
      </c>
      <c r="B34" s="312"/>
      <c r="C34" s="64"/>
      <c r="D34" s="33">
        <f>IF(D32&lt;0,0,IF(D32&lt;38120,IF(B4="SAS",0.15*D32,0.15*D32*(1-I11)),IF(B4="SAS",0.28*D32,0.28*D32*(1-I11))))</f>
        <v>0</v>
      </c>
      <c r="E34" s="33">
        <f>IF((E32+D33)&lt;0,0,IF(E32&lt;38120,IF($B$4="SAS",0.15*(E32+D33),0.15*(E32+D33)*(1-$I$11)),IF($B$4="SAS",0.28*(E32+D33),0.28*(1-$I$11)*(E32+D33))))</f>
        <v>0</v>
      </c>
      <c r="F34" s="33">
        <f>IF((F32+E33)&lt;0,0,IF(F32&lt;38120,IF($B$4="SAS",0.15*(F32+E33),0.15*(F32+E33)*(1-$I$11)),IF($B$4="SAS",0.28*(F32+E33),0.28*(1-$I$11)*(F32+E33))))</f>
        <v>0</v>
      </c>
      <c r="G34" s="33">
        <f>IF((G32+F33)&lt;0,0,IF(G32&lt;38120,IF($B$4="SAS",0.15*(G32+F33),0.15*(G32+F33)*(1-$I$12)),IF($B$4="SAS",0.28*(G32+F33),0.28*(1-$I$12)*(G32+F33))))</f>
        <v>0</v>
      </c>
      <c r="H34" s="33">
        <f>IF((H32+G33)&lt;0,0,IF(H32&lt;38120,IF($B$4="SAS",0.15*(H32+G33),0.15*(H32+G33)*(1-$I$12)),IF($B$4="SAS",0.28*(H32+G33),0.28*(1-$I$12)*(H32+G33))))</f>
        <v>0</v>
      </c>
      <c r="I34" s="33">
        <f t="shared" ref="I34:W34" si="43">IF((I32+H33)&lt;0,0,IF(I32&lt;38120,IF($B$4="SAS",0.15*(I32+H33),0.15*(I32+H33)*(1-$I$12)),IF($B$4="SAS",0.28*(I32+H33),0.28*(1-$I$12)*(I32+H33))))</f>
        <v>0</v>
      </c>
      <c r="J34" s="33">
        <f t="shared" si="43"/>
        <v>0</v>
      </c>
      <c r="K34" s="33">
        <f t="shared" si="43"/>
        <v>0</v>
      </c>
      <c r="L34" s="33">
        <f t="shared" si="43"/>
        <v>0</v>
      </c>
      <c r="M34" s="33">
        <f>IF((M32+L33)&lt;0,0,IF(M32&lt;38120,IF($B$4="SAS",0.15*(M32+L33),0.15*(M32+L33)*(1-$I$12)),IF($B$4="SAS",0.28*(M32+L33),0.28*(1-$I$12)*(M32+L33))))</f>
        <v>0</v>
      </c>
      <c r="N34" s="33">
        <f t="shared" si="43"/>
        <v>0</v>
      </c>
      <c r="O34" s="33">
        <f t="shared" si="43"/>
        <v>0</v>
      </c>
      <c r="P34" s="33">
        <f t="shared" si="43"/>
        <v>0</v>
      </c>
      <c r="Q34" s="33">
        <f t="shared" si="43"/>
        <v>0</v>
      </c>
      <c r="R34" s="33">
        <f t="shared" si="43"/>
        <v>0</v>
      </c>
      <c r="S34" s="33">
        <f t="shared" si="43"/>
        <v>0</v>
      </c>
      <c r="T34" s="33">
        <f t="shared" si="43"/>
        <v>0</v>
      </c>
      <c r="U34" s="33">
        <f t="shared" si="43"/>
        <v>0</v>
      </c>
      <c r="V34" s="33">
        <f t="shared" si="43"/>
        <v>0</v>
      </c>
      <c r="W34" s="33">
        <f t="shared" si="43"/>
        <v>0</v>
      </c>
      <c r="X34" s="33">
        <f t="shared" ref="X34" si="44">IF((X32+W33)&lt;0,0,IF(X32&lt;38120,IF($B$4="SAS",0.15*(X32+W33),0.15*(X32+W33)*(1-$I$12)),IF($B$4="SAS",0.28*(X32+W33),0.28*(1-$I$12)*(X32+W33))))</f>
        <v>0</v>
      </c>
      <c r="Y34" s="33">
        <f t="shared" ref="Y34" si="45">IF((Y32+X33)&lt;0,0,IF(Y32&lt;38120,IF($B$4="SAS",0.15*(Y32+X33),0.15*(Y32+X33)*(1-$I$12)),IF($B$4="SAS",0.28*(Y32+X33),0.28*(1-$I$12)*(Y32+X33))))</f>
        <v>0</v>
      </c>
      <c r="Z34" s="33">
        <f t="shared" ref="Z34" si="46">IF((Z32+Y33)&lt;0,0,IF(Z32&lt;38120,IF($B$4="SAS",0.15*(Z32+Y33),0.15*(Z32+Y33)*(1-$I$12)),IF($B$4="SAS",0.28*(Z32+Y33),0.28*(1-$I$12)*(Z32+Y33))))</f>
        <v>0</v>
      </c>
      <c r="AA34" s="33">
        <f t="shared" ref="AA34" si="47">IF((AA32+Z33)&lt;0,0,IF(AA32&lt;38120,IF($B$4="SAS",0.15*(AA32+Z33),0.15*(AA32+Z33)*(1-$I$12)),IF($B$4="SAS",0.28*(AA32+Z33),0.28*(1-$I$12)*(AA32+Z33))))</f>
        <v>0</v>
      </c>
      <c r="AB34" s="33">
        <f t="shared" ref="AB34" si="48">IF((AB32+AA33)&lt;0,0,IF(AB32&lt;38120,IF($B$4="SAS",0.15*(AB32+AA33),0.15*(AB32+AA33)*(1-$I$12)),IF($B$4="SAS",0.28*(AB32+AA33),0.28*(1-$I$12)*(AB32+AA33))))</f>
        <v>0</v>
      </c>
      <c r="AC34" s="33">
        <f t="shared" ref="AC34" si="49">IF((AC32+AB33)&lt;0,0,IF(AC32&lt;38120,IF($B$4="SAS",0.15*(AC32+AB33),0.15*(AC32+AB33)*(1-$I$12)),IF($B$4="SAS",0.28*(AC32+AB33),0.28*(1-$I$12)*(AC32+AB33))))</f>
        <v>0</v>
      </c>
      <c r="AD34" s="33">
        <f t="shared" ref="AD34" si="50">IF((AD32+AC33)&lt;0,0,IF(AD32&lt;38120,IF($B$4="SAS",0.15*(AD32+AC33),0.15*(AD32+AC33)*(1-$I$12)),IF($B$4="SAS",0.28*(AD32+AC33),0.28*(1-$I$12)*(AD32+AC33))))</f>
        <v>0</v>
      </c>
      <c r="AE34" s="33">
        <f t="shared" ref="AE34" si="51">IF((AE32+AD33)&lt;0,0,IF(AE32&lt;38120,IF($B$4="SAS",0.15*(AE32+AD33),0.15*(AE32+AD33)*(1-$I$12)),IF($B$4="SAS",0.28*(AE32+AD33),0.28*(1-$I$12)*(AE32+AD33))))</f>
        <v>0</v>
      </c>
      <c r="AF34" s="33">
        <f t="shared" ref="AF34" si="52">IF((AF32+AE33)&lt;0,0,IF(AF32&lt;38120,IF($B$4="SAS",0.15*(AF32+AE33),0.15*(AF32+AE33)*(1-$I$12)),IF($B$4="SAS",0.28*(AF32+AE33),0.28*(1-$I$12)*(AF32+AE33))))</f>
        <v>0</v>
      </c>
      <c r="AG34" s="33">
        <f t="shared" ref="AG34" si="53">IF((AG32+AF33)&lt;0,0,IF(AG32&lt;38120,IF($B$4="SAS",0.15*(AG32+AF33),0.15*(AG32+AF33)*(1-$I$12)),IF($B$4="SAS",0.28*(AG32+AF33),0.28*(1-$I$12)*(AG32+AF33))))</f>
        <v>0</v>
      </c>
      <c r="AL34" s="51"/>
      <c r="AM34" s="51">
        <f t="shared" si="3"/>
        <v>730</v>
      </c>
      <c r="AN34" s="51"/>
      <c r="AO34" s="51"/>
      <c r="AP34" s="51"/>
      <c r="AQ34" s="53"/>
      <c r="AR34" s="51"/>
      <c r="AS34" s="51"/>
      <c r="AT34" s="51"/>
    </row>
    <row r="35" spans="1:46" s="39" customFormat="1" ht="16.95" customHeight="1">
      <c r="A35" s="319" t="s">
        <v>11</v>
      </c>
      <c r="B35" s="320"/>
      <c r="C35" s="66"/>
      <c r="D35" s="35">
        <f>D32-D34</f>
        <v>-3495</v>
      </c>
      <c r="E35" s="35">
        <f t="shared" ref="E35:AG35" si="54">E32-E34</f>
        <v>-2740.9</v>
      </c>
      <c r="F35" s="35">
        <f t="shared" si="54"/>
        <v>-2787.7179999999998</v>
      </c>
      <c r="G35" s="35">
        <f t="shared" si="54"/>
        <v>-2835.4723599999998</v>
      </c>
      <c r="H35" s="35">
        <f t="shared" si="54"/>
        <v>-2884.1818072000001</v>
      </c>
      <c r="I35" s="35">
        <f t="shared" si="54"/>
        <v>-2933.8654433440001</v>
      </c>
      <c r="J35" s="35">
        <f t="shared" si="54"/>
        <v>-2984.5427522108803</v>
      </c>
      <c r="K35" s="35">
        <f t="shared" si="54"/>
        <v>-3036.233607255097</v>
      </c>
      <c r="L35" s="35">
        <f t="shared" si="54"/>
        <v>-3088.9582794001994</v>
      </c>
      <c r="M35" s="35">
        <f t="shared" si="54"/>
        <v>-3142.7374449882032</v>
      </c>
      <c r="N35" s="35">
        <f t="shared" si="54"/>
        <v>-3197.5921938879674</v>
      </c>
      <c r="O35" s="35">
        <f t="shared" si="54"/>
        <v>-3253.5440377657264</v>
      </c>
      <c r="P35" s="35">
        <f t="shared" si="54"/>
        <v>-3310.6149185210415</v>
      </c>
      <c r="Q35" s="35">
        <f t="shared" si="54"/>
        <v>-3368.8272168914618</v>
      </c>
      <c r="R35" s="35">
        <f t="shared" si="54"/>
        <v>-3428.2037612292916</v>
      </c>
      <c r="S35" s="35">
        <f t="shared" si="54"/>
        <v>-3488.7678364538765</v>
      </c>
      <c r="T35" s="35">
        <f t="shared" si="54"/>
        <v>-3550.5431931829548</v>
      </c>
      <c r="U35" s="35">
        <f t="shared" si="54"/>
        <v>-3613.5540570466142</v>
      </c>
      <c r="V35" s="35">
        <f t="shared" si="54"/>
        <v>-3677.8251381875457</v>
      </c>
      <c r="W35" s="35">
        <f t="shared" si="54"/>
        <v>-3743.3816409512965</v>
      </c>
      <c r="X35" s="35">
        <f t="shared" si="54"/>
        <v>-3810.2492737703228</v>
      </c>
      <c r="Y35" s="35">
        <f t="shared" si="54"/>
        <v>-3878.4542592457292</v>
      </c>
      <c r="Z35" s="35">
        <f t="shared" si="54"/>
        <v>-3948.0233444306441</v>
      </c>
      <c r="AA35" s="35">
        <f t="shared" si="54"/>
        <v>-4018.9838113192563</v>
      </c>
      <c r="AB35" s="35">
        <f t="shared" si="54"/>
        <v>-4091.3634875456414</v>
      </c>
      <c r="AC35" s="35">
        <f t="shared" si="54"/>
        <v>-4165.1907572965538</v>
      </c>
      <c r="AD35" s="35">
        <f t="shared" si="54"/>
        <v>-4240.4945724424852</v>
      </c>
      <c r="AE35" s="35">
        <f t="shared" si="54"/>
        <v>-4317.3044638913343</v>
      </c>
      <c r="AF35" s="35">
        <f t="shared" si="54"/>
        <v>-4395.6505531691619</v>
      </c>
      <c r="AG35" s="35">
        <f t="shared" si="54"/>
        <v>-4475.5635642325451</v>
      </c>
      <c r="AL35" s="51"/>
      <c r="AM35" s="51">
        <f t="shared" si="3"/>
        <v>740</v>
      </c>
      <c r="AN35" s="51"/>
      <c r="AO35" s="51"/>
      <c r="AP35" s="51"/>
      <c r="AQ35" s="51"/>
      <c r="AR35" s="51"/>
      <c r="AS35" s="51"/>
      <c r="AT35" s="51"/>
    </row>
    <row r="36" spans="1:46" ht="16.95" customHeight="1">
      <c r="A36" s="37"/>
      <c r="B36" s="37"/>
      <c r="C36" s="37"/>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M36" s="51">
        <f t="shared" si="3"/>
        <v>750</v>
      </c>
      <c r="AQ36" s="53"/>
    </row>
    <row r="37" spans="1:46" ht="14.4">
      <c r="A37" s="311" t="s">
        <v>32</v>
      </c>
      <c r="B37" s="312"/>
      <c r="C37" s="64"/>
      <c r="D37" s="33">
        <f t="shared" ref="D37:AG37" si="55">D35+D28+D27</f>
        <v>-3495</v>
      </c>
      <c r="E37" s="33">
        <f t="shared" si="55"/>
        <v>-2740.9</v>
      </c>
      <c r="F37" s="33">
        <f t="shared" si="55"/>
        <v>-2787.7179999999998</v>
      </c>
      <c r="G37" s="33">
        <f t="shared" si="55"/>
        <v>-2835.4723599999998</v>
      </c>
      <c r="H37" s="33">
        <f t="shared" si="55"/>
        <v>-2884.1818072000001</v>
      </c>
      <c r="I37" s="33">
        <f t="shared" si="55"/>
        <v>-2933.8654433440001</v>
      </c>
      <c r="J37" s="33">
        <f t="shared" si="55"/>
        <v>-2984.5427522108803</v>
      </c>
      <c r="K37" s="33">
        <f t="shared" si="55"/>
        <v>-3036.233607255097</v>
      </c>
      <c r="L37" s="33">
        <f t="shared" si="55"/>
        <v>-3088.9582794001994</v>
      </c>
      <c r="M37" s="33">
        <f t="shared" si="55"/>
        <v>-3142.7374449882032</v>
      </c>
      <c r="N37" s="33">
        <f t="shared" si="55"/>
        <v>-3197.5921938879674</v>
      </c>
      <c r="O37" s="33">
        <f t="shared" si="55"/>
        <v>-3253.5440377657264</v>
      </c>
      <c r="P37" s="33">
        <f t="shared" si="55"/>
        <v>-3310.6149185210415</v>
      </c>
      <c r="Q37" s="33">
        <f t="shared" si="55"/>
        <v>-3368.8272168914618</v>
      </c>
      <c r="R37" s="33">
        <f t="shared" si="55"/>
        <v>-3428.2037612292916</v>
      </c>
      <c r="S37" s="33">
        <f t="shared" si="55"/>
        <v>-3488.7678364538765</v>
      </c>
      <c r="T37" s="33">
        <f t="shared" si="55"/>
        <v>-3550.5431931829548</v>
      </c>
      <c r="U37" s="33">
        <f t="shared" si="55"/>
        <v>-3613.5540570466142</v>
      </c>
      <c r="V37" s="33">
        <f t="shared" si="55"/>
        <v>-3677.8251381875457</v>
      </c>
      <c r="W37" s="33">
        <f t="shared" si="55"/>
        <v>-3743.3816409512965</v>
      </c>
      <c r="X37" s="33">
        <f t="shared" si="55"/>
        <v>-3810.2492737703228</v>
      </c>
      <c r="Y37" s="33">
        <f t="shared" si="55"/>
        <v>-3878.4542592457292</v>
      </c>
      <c r="Z37" s="33">
        <f t="shared" si="55"/>
        <v>-3948.0233444306441</v>
      </c>
      <c r="AA37" s="33">
        <f t="shared" si="55"/>
        <v>-4018.9838113192563</v>
      </c>
      <c r="AB37" s="33">
        <f t="shared" si="55"/>
        <v>-4091.3634875456414</v>
      </c>
      <c r="AC37" s="33">
        <f t="shared" si="55"/>
        <v>-4165.1907572965538</v>
      </c>
      <c r="AD37" s="33">
        <f t="shared" si="55"/>
        <v>-4240.4945724424852</v>
      </c>
      <c r="AE37" s="33">
        <f t="shared" si="55"/>
        <v>-4317.3044638913343</v>
      </c>
      <c r="AF37" s="33">
        <f t="shared" si="55"/>
        <v>-4395.6505531691619</v>
      </c>
      <c r="AG37" s="33">
        <f t="shared" si="55"/>
        <v>-4475.5635642325451</v>
      </c>
      <c r="AM37" s="51">
        <f t="shared" si="3"/>
        <v>760</v>
      </c>
      <c r="AQ37" s="53"/>
    </row>
    <row r="38" spans="1:46" ht="14.4">
      <c r="A38" s="312" t="s">
        <v>21</v>
      </c>
      <c r="B38" s="318"/>
      <c r="C38" s="70">
        <f>-C11+M14</f>
        <v>0</v>
      </c>
      <c r="D38" s="33">
        <f>D37+D31+D30</f>
        <v>-3495</v>
      </c>
      <c r="E38" s="33">
        <f>E37+E31+E30</f>
        <v>-2740.9</v>
      </c>
      <c r="F38" s="33">
        <f t="shared" ref="F38:AG38" si="56">F37+F31+F30</f>
        <v>-2787.7179999999998</v>
      </c>
      <c r="G38" s="33">
        <f t="shared" si="56"/>
        <v>-2835.4723599999998</v>
      </c>
      <c r="H38" s="33">
        <f t="shared" si="56"/>
        <v>-2884.1818072000001</v>
      </c>
      <c r="I38" s="33">
        <f t="shared" si="56"/>
        <v>-2933.8654433440001</v>
      </c>
      <c r="J38" s="33">
        <f t="shared" si="56"/>
        <v>-2984.5427522108803</v>
      </c>
      <c r="K38" s="33">
        <f t="shared" si="56"/>
        <v>-3036.233607255097</v>
      </c>
      <c r="L38" s="33">
        <f t="shared" si="56"/>
        <v>-3088.9582794001994</v>
      </c>
      <c r="M38" s="33">
        <f t="shared" si="56"/>
        <v>-3142.7374449882032</v>
      </c>
      <c r="N38" s="33">
        <f t="shared" si="56"/>
        <v>-3197.5921938879674</v>
      </c>
      <c r="O38" s="33">
        <f t="shared" si="56"/>
        <v>-3253.5440377657264</v>
      </c>
      <c r="P38" s="33">
        <f t="shared" si="56"/>
        <v>-3310.6149185210415</v>
      </c>
      <c r="Q38" s="33">
        <f t="shared" si="56"/>
        <v>-3368.8272168914618</v>
      </c>
      <c r="R38" s="33">
        <f t="shared" si="56"/>
        <v>-3428.2037612292916</v>
      </c>
      <c r="S38" s="33">
        <f t="shared" si="56"/>
        <v>-3488.7678364538765</v>
      </c>
      <c r="T38" s="33">
        <f t="shared" si="56"/>
        <v>-3550.5431931829548</v>
      </c>
      <c r="U38" s="33">
        <f t="shared" si="56"/>
        <v>-3613.5540570466142</v>
      </c>
      <c r="V38" s="33">
        <f t="shared" si="56"/>
        <v>-3677.8251381875457</v>
      </c>
      <c r="W38" s="33">
        <f t="shared" si="56"/>
        <v>-3743.3816409512965</v>
      </c>
      <c r="X38" s="33">
        <f t="shared" si="56"/>
        <v>-3810.2492737703228</v>
      </c>
      <c r="Y38" s="33">
        <f t="shared" si="56"/>
        <v>-3878.4542592457292</v>
      </c>
      <c r="Z38" s="33">
        <f t="shared" si="56"/>
        <v>-3948.0233444306441</v>
      </c>
      <c r="AA38" s="33">
        <f t="shared" si="56"/>
        <v>-4018.9838113192563</v>
      </c>
      <c r="AB38" s="33">
        <f t="shared" si="56"/>
        <v>-4091.3634875456414</v>
      </c>
      <c r="AC38" s="33">
        <f t="shared" si="56"/>
        <v>-4165.1907572965538</v>
      </c>
      <c r="AD38" s="33">
        <f t="shared" si="56"/>
        <v>-4240.4945724424852</v>
      </c>
      <c r="AE38" s="33">
        <f t="shared" si="56"/>
        <v>-4317.3044638913343</v>
      </c>
      <c r="AF38" s="33">
        <f t="shared" si="56"/>
        <v>-4395.6505531691619</v>
      </c>
      <c r="AG38" s="33">
        <f t="shared" si="56"/>
        <v>-4475.5635642325451</v>
      </c>
      <c r="AM38" s="51">
        <f t="shared" si="3"/>
        <v>770</v>
      </c>
      <c r="AQ38" s="53"/>
    </row>
    <row r="39" spans="1:46" ht="16.95" customHeight="1">
      <c r="A39" s="313" t="s">
        <v>122</v>
      </c>
      <c r="B39" s="313"/>
      <c r="C39" s="71">
        <f>-M8-Q8</f>
        <v>0</v>
      </c>
      <c r="D39" s="33">
        <f>D37</f>
        <v>-3495</v>
      </c>
      <c r="E39" s="33">
        <f t="shared" ref="E39:AG39" si="57">E37</f>
        <v>-2740.9</v>
      </c>
      <c r="F39" s="33">
        <f t="shared" si="57"/>
        <v>-2787.7179999999998</v>
      </c>
      <c r="G39" s="33">
        <f t="shared" si="57"/>
        <v>-2835.4723599999998</v>
      </c>
      <c r="H39" s="33">
        <f t="shared" si="57"/>
        <v>-2884.1818072000001</v>
      </c>
      <c r="I39" s="33">
        <f t="shared" si="57"/>
        <v>-2933.8654433440001</v>
      </c>
      <c r="J39" s="33">
        <f t="shared" si="57"/>
        <v>-2984.5427522108803</v>
      </c>
      <c r="K39" s="33">
        <f t="shared" si="57"/>
        <v>-3036.233607255097</v>
      </c>
      <c r="L39" s="33">
        <f t="shared" si="57"/>
        <v>-3088.9582794001994</v>
      </c>
      <c r="M39" s="33">
        <f t="shared" si="57"/>
        <v>-3142.7374449882032</v>
      </c>
      <c r="N39" s="33">
        <f t="shared" si="57"/>
        <v>-3197.5921938879674</v>
      </c>
      <c r="O39" s="33">
        <f t="shared" si="57"/>
        <v>-3253.5440377657264</v>
      </c>
      <c r="P39" s="33">
        <f t="shared" si="57"/>
        <v>-3310.6149185210415</v>
      </c>
      <c r="Q39" s="33">
        <f t="shared" si="57"/>
        <v>-3368.8272168914618</v>
      </c>
      <c r="R39" s="33">
        <f t="shared" si="57"/>
        <v>-3428.2037612292916</v>
      </c>
      <c r="S39" s="33">
        <f t="shared" si="57"/>
        <v>-3488.7678364538765</v>
      </c>
      <c r="T39" s="33">
        <f t="shared" si="57"/>
        <v>-3550.5431931829548</v>
      </c>
      <c r="U39" s="33">
        <f t="shared" si="57"/>
        <v>-3613.5540570466142</v>
      </c>
      <c r="V39" s="33">
        <f t="shared" si="57"/>
        <v>-3677.8251381875457</v>
      </c>
      <c r="W39" s="33">
        <f t="shared" si="57"/>
        <v>-3743.3816409512965</v>
      </c>
      <c r="X39" s="33">
        <f t="shared" si="57"/>
        <v>-3810.2492737703228</v>
      </c>
      <c r="Y39" s="33">
        <f t="shared" si="57"/>
        <v>-3878.4542592457292</v>
      </c>
      <c r="Z39" s="33">
        <f t="shared" si="57"/>
        <v>-3948.0233444306441</v>
      </c>
      <c r="AA39" s="33">
        <f t="shared" si="57"/>
        <v>-4018.9838113192563</v>
      </c>
      <c r="AB39" s="33">
        <f t="shared" si="57"/>
        <v>-4091.3634875456414</v>
      </c>
      <c r="AC39" s="33">
        <f t="shared" si="57"/>
        <v>-4165.1907572965538</v>
      </c>
      <c r="AD39" s="33">
        <f t="shared" si="57"/>
        <v>-4240.4945724424852</v>
      </c>
      <c r="AE39" s="33">
        <f t="shared" si="57"/>
        <v>-4317.3044638913343</v>
      </c>
      <c r="AF39" s="33">
        <f t="shared" si="57"/>
        <v>-4395.6505531691619</v>
      </c>
      <c r="AG39" s="33">
        <f t="shared" si="57"/>
        <v>-4475.5635642325451</v>
      </c>
      <c r="AM39" s="51">
        <f t="shared" si="3"/>
        <v>780</v>
      </c>
      <c r="AQ39" s="53"/>
    </row>
    <row r="40" spans="1:46" s="36" customFormat="1" ht="16.95" customHeight="1">
      <c r="A40" s="311" t="s">
        <v>15</v>
      </c>
      <c r="B40" s="312"/>
      <c r="C40" s="64"/>
      <c r="D40" s="33" t="e">
        <f t="shared" ref="D40:W40" si="58">D37*(1+taux_actu)^-(D21-1)</f>
        <v>#DIV/0!</v>
      </c>
      <c r="E40" s="33" t="e">
        <f t="shared" si="58"/>
        <v>#DIV/0!</v>
      </c>
      <c r="F40" s="33" t="e">
        <f t="shared" si="58"/>
        <v>#DIV/0!</v>
      </c>
      <c r="G40" s="33" t="e">
        <f t="shared" si="58"/>
        <v>#DIV/0!</v>
      </c>
      <c r="H40" s="33" t="e">
        <f t="shared" si="58"/>
        <v>#DIV/0!</v>
      </c>
      <c r="I40" s="33" t="e">
        <f t="shared" si="58"/>
        <v>#DIV/0!</v>
      </c>
      <c r="J40" s="33" t="e">
        <f t="shared" si="58"/>
        <v>#DIV/0!</v>
      </c>
      <c r="K40" s="33" t="e">
        <f t="shared" si="58"/>
        <v>#DIV/0!</v>
      </c>
      <c r="L40" s="33" t="e">
        <f t="shared" si="58"/>
        <v>#DIV/0!</v>
      </c>
      <c r="M40" s="33" t="e">
        <f t="shared" si="58"/>
        <v>#DIV/0!</v>
      </c>
      <c r="N40" s="33" t="e">
        <f t="shared" si="58"/>
        <v>#DIV/0!</v>
      </c>
      <c r="O40" s="33" t="e">
        <f t="shared" si="58"/>
        <v>#DIV/0!</v>
      </c>
      <c r="P40" s="33" t="e">
        <f t="shared" si="58"/>
        <v>#DIV/0!</v>
      </c>
      <c r="Q40" s="33" t="e">
        <f t="shared" si="58"/>
        <v>#DIV/0!</v>
      </c>
      <c r="R40" s="33" t="e">
        <f t="shared" si="58"/>
        <v>#DIV/0!</v>
      </c>
      <c r="S40" s="33" t="e">
        <f t="shared" si="58"/>
        <v>#DIV/0!</v>
      </c>
      <c r="T40" s="33" t="e">
        <f t="shared" si="58"/>
        <v>#DIV/0!</v>
      </c>
      <c r="U40" s="33" t="e">
        <f t="shared" si="58"/>
        <v>#DIV/0!</v>
      </c>
      <c r="V40" s="33" t="e">
        <f t="shared" si="58"/>
        <v>#DIV/0!</v>
      </c>
      <c r="W40" s="33" t="e">
        <f t="shared" si="58"/>
        <v>#DIV/0!</v>
      </c>
      <c r="X40" s="33" t="e">
        <f t="shared" ref="X40:AG40" si="59">X37*(1+taux_actu)^-(X21-1)</f>
        <v>#DIV/0!</v>
      </c>
      <c r="Y40" s="33" t="e">
        <f t="shared" si="59"/>
        <v>#DIV/0!</v>
      </c>
      <c r="Z40" s="33" t="e">
        <f t="shared" si="59"/>
        <v>#DIV/0!</v>
      </c>
      <c r="AA40" s="33" t="e">
        <f t="shared" si="59"/>
        <v>#DIV/0!</v>
      </c>
      <c r="AB40" s="33" t="e">
        <f t="shared" si="59"/>
        <v>#DIV/0!</v>
      </c>
      <c r="AC40" s="33" t="e">
        <f t="shared" si="59"/>
        <v>#DIV/0!</v>
      </c>
      <c r="AD40" s="33" t="e">
        <f>AD37*(1+taux_actu)^-(AD21-1)</f>
        <v>#DIV/0!</v>
      </c>
      <c r="AE40" s="33" t="e">
        <f t="shared" si="59"/>
        <v>#DIV/0!</v>
      </c>
      <c r="AF40" s="33" t="e">
        <f t="shared" si="59"/>
        <v>#DIV/0!</v>
      </c>
      <c r="AG40" s="33" t="e">
        <f t="shared" si="59"/>
        <v>#DIV/0!</v>
      </c>
      <c r="AL40" s="51"/>
      <c r="AM40" s="51">
        <f t="shared" si="3"/>
        <v>790</v>
      </c>
      <c r="AN40" s="51"/>
      <c r="AO40" s="51"/>
      <c r="AP40" s="51"/>
      <c r="AQ40" s="53"/>
      <c r="AR40" s="51"/>
      <c r="AS40" s="51"/>
      <c r="AT40" s="51"/>
    </row>
    <row r="41" spans="1:46" ht="16.95" customHeight="1">
      <c r="A41" s="319" t="s">
        <v>16</v>
      </c>
      <c r="B41" s="320"/>
      <c r="C41" s="72">
        <f>-C11+M14</f>
        <v>0</v>
      </c>
      <c r="D41" s="35" t="e">
        <f>D40+C41</f>
        <v>#DIV/0!</v>
      </c>
      <c r="E41" s="35" t="e">
        <f>D41+E40</f>
        <v>#DIV/0!</v>
      </c>
      <c r="F41" s="35" t="e">
        <f t="shared" ref="F41:V41" si="60">E41+F40</f>
        <v>#DIV/0!</v>
      </c>
      <c r="G41" s="35" t="e">
        <f t="shared" si="60"/>
        <v>#DIV/0!</v>
      </c>
      <c r="H41" s="35" t="e">
        <f t="shared" si="60"/>
        <v>#DIV/0!</v>
      </c>
      <c r="I41" s="35" t="e">
        <f t="shared" si="60"/>
        <v>#DIV/0!</v>
      </c>
      <c r="J41" s="35" t="e">
        <f t="shared" si="60"/>
        <v>#DIV/0!</v>
      </c>
      <c r="K41" s="35" t="e">
        <f t="shared" si="60"/>
        <v>#DIV/0!</v>
      </c>
      <c r="L41" s="35" t="e">
        <f t="shared" si="60"/>
        <v>#DIV/0!</v>
      </c>
      <c r="M41" s="35" t="e">
        <f t="shared" si="60"/>
        <v>#DIV/0!</v>
      </c>
      <c r="N41" s="35" t="e">
        <f t="shared" si="60"/>
        <v>#DIV/0!</v>
      </c>
      <c r="O41" s="35" t="e">
        <f t="shared" si="60"/>
        <v>#DIV/0!</v>
      </c>
      <c r="P41" s="35" t="e">
        <f t="shared" si="60"/>
        <v>#DIV/0!</v>
      </c>
      <c r="Q41" s="35" t="e">
        <f t="shared" si="60"/>
        <v>#DIV/0!</v>
      </c>
      <c r="R41" s="35" t="e">
        <f t="shared" si="60"/>
        <v>#DIV/0!</v>
      </c>
      <c r="S41" s="35" t="e">
        <f t="shared" si="60"/>
        <v>#DIV/0!</v>
      </c>
      <c r="T41" s="35" t="e">
        <f t="shared" si="60"/>
        <v>#DIV/0!</v>
      </c>
      <c r="U41" s="35" t="e">
        <f t="shared" si="60"/>
        <v>#DIV/0!</v>
      </c>
      <c r="V41" s="35" t="e">
        <f t="shared" si="60"/>
        <v>#DIV/0!</v>
      </c>
      <c r="W41" s="35" t="e">
        <f>V41+W40</f>
        <v>#DIV/0!</v>
      </c>
      <c r="X41" s="35" t="e">
        <f t="shared" ref="X41:AF41" si="61">W41+X40</f>
        <v>#DIV/0!</v>
      </c>
      <c r="Y41" s="35" t="e">
        <f t="shared" si="61"/>
        <v>#DIV/0!</v>
      </c>
      <c r="Z41" s="35" t="e">
        <f t="shared" si="61"/>
        <v>#DIV/0!</v>
      </c>
      <c r="AA41" s="35" t="e">
        <f t="shared" si="61"/>
        <v>#DIV/0!</v>
      </c>
      <c r="AB41" s="35" t="e">
        <f t="shared" si="61"/>
        <v>#DIV/0!</v>
      </c>
      <c r="AC41" s="35" t="e">
        <f t="shared" si="61"/>
        <v>#DIV/0!</v>
      </c>
      <c r="AD41" s="35" t="e">
        <f t="shared" si="61"/>
        <v>#DIV/0!</v>
      </c>
      <c r="AE41" s="35" t="e">
        <f t="shared" si="61"/>
        <v>#DIV/0!</v>
      </c>
      <c r="AF41" s="35" t="e">
        <f t="shared" si="61"/>
        <v>#DIV/0!</v>
      </c>
      <c r="AG41" s="35" t="e">
        <f>AF41+AG40</f>
        <v>#DIV/0!</v>
      </c>
      <c r="AM41" s="51">
        <f t="shared" si="3"/>
        <v>800</v>
      </c>
    </row>
    <row r="42" spans="1:46" ht="14.4">
      <c r="AM42" s="51">
        <f t="shared" si="3"/>
        <v>810</v>
      </c>
      <c r="AQ42" s="53"/>
    </row>
    <row r="43" spans="1:46" ht="14.4">
      <c r="A43" s="311" t="s">
        <v>33</v>
      </c>
      <c r="B43" s="312"/>
      <c r="C43" s="64"/>
      <c r="D43" s="33">
        <f>IF(D21&lt;4,IF(D35&lt;0,0,$I$11*D35),$I$12*D35)</f>
        <v>0</v>
      </c>
      <c r="E43" s="33">
        <f t="shared" ref="E43:AG43" si="62">IF(E21&lt;4,IF(E35&lt;0,0,$I$11*E35),$I$12*E35)</f>
        <v>0</v>
      </c>
      <c r="F43" s="33">
        <f t="shared" si="62"/>
        <v>0</v>
      </c>
      <c r="G43" s="33">
        <f t="shared" si="62"/>
        <v>-850.64170799999988</v>
      </c>
      <c r="H43" s="33">
        <f t="shared" si="62"/>
        <v>-865.25454216000003</v>
      </c>
      <c r="I43" s="33">
        <f t="shared" si="62"/>
        <v>-880.15963300320004</v>
      </c>
      <c r="J43" s="33">
        <f t="shared" si="62"/>
        <v>-895.36282566326406</v>
      </c>
      <c r="K43" s="33">
        <f t="shared" si="62"/>
        <v>-910.87008217652908</v>
      </c>
      <c r="L43" s="33">
        <f t="shared" si="62"/>
        <v>-926.68748382005981</v>
      </c>
      <c r="M43" s="33">
        <f t="shared" si="62"/>
        <v>-942.82123349646088</v>
      </c>
      <c r="N43" s="33">
        <f t="shared" si="62"/>
        <v>-959.27765816639021</v>
      </c>
      <c r="O43" s="33">
        <f t="shared" si="62"/>
        <v>-976.06321132971789</v>
      </c>
      <c r="P43" s="33">
        <f t="shared" si="62"/>
        <v>-993.18447555631246</v>
      </c>
      <c r="Q43" s="33">
        <f t="shared" si="62"/>
        <v>-1010.6481650674385</v>
      </c>
      <c r="R43" s="33">
        <f t="shared" si="62"/>
        <v>-1028.4611283687875</v>
      </c>
      <c r="S43" s="33">
        <f t="shared" si="62"/>
        <v>-1046.6303509361628</v>
      </c>
      <c r="T43" s="33">
        <f t="shared" si="62"/>
        <v>-1065.1629579548865</v>
      </c>
      <c r="U43" s="33">
        <f t="shared" si="62"/>
        <v>-1084.0662171139843</v>
      </c>
      <c r="V43" s="33">
        <f t="shared" si="62"/>
        <v>-1103.3475414562636</v>
      </c>
      <c r="W43" s="33">
        <f t="shared" si="62"/>
        <v>-1123.014492285389</v>
      </c>
      <c r="X43" s="33">
        <f t="shared" si="62"/>
        <v>-1143.0747821310968</v>
      </c>
      <c r="Y43" s="33">
        <f t="shared" si="62"/>
        <v>-1163.5362777737187</v>
      </c>
      <c r="Z43" s="33">
        <f t="shared" si="62"/>
        <v>-1184.4070033291932</v>
      </c>
      <c r="AA43" s="33">
        <f t="shared" si="62"/>
        <v>-1205.6951433957768</v>
      </c>
      <c r="AB43" s="33">
        <f t="shared" si="62"/>
        <v>-1227.4090462636923</v>
      </c>
      <c r="AC43" s="33">
        <f t="shared" si="62"/>
        <v>-1249.5572271889662</v>
      </c>
      <c r="AD43" s="33">
        <f t="shared" si="62"/>
        <v>-1272.1483717327455</v>
      </c>
      <c r="AE43" s="33">
        <f t="shared" si="62"/>
        <v>-1295.1913391674002</v>
      </c>
      <c r="AF43" s="33">
        <f t="shared" si="62"/>
        <v>-1318.6951659507486</v>
      </c>
      <c r="AG43" s="33">
        <f t="shared" si="62"/>
        <v>-1342.6690692697634</v>
      </c>
      <c r="AM43" s="51">
        <f t="shared" si="3"/>
        <v>820</v>
      </c>
      <c r="AQ43" s="53"/>
    </row>
    <row r="44" spans="1:46" ht="14.4">
      <c r="A44" s="311" t="s">
        <v>47</v>
      </c>
      <c r="B44" s="312"/>
      <c r="C44" s="64"/>
      <c r="D44" s="33">
        <f t="shared" ref="D44:AG44" si="63">IF(D21&lt;4,0,D35-D43)</f>
        <v>0</v>
      </c>
      <c r="E44" s="33">
        <f t="shared" si="63"/>
        <v>0</v>
      </c>
      <c r="F44" s="33">
        <f t="shared" si="63"/>
        <v>0</v>
      </c>
      <c r="G44" s="33">
        <f t="shared" si="63"/>
        <v>-1984.8306519999999</v>
      </c>
      <c r="H44" s="33">
        <f t="shared" si="63"/>
        <v>-2018.9272650400001</v>
      </c>
      <c r="I44" s="33">
        <f t="shared" si="63"/>
        <v>-2053.7058103407999</v>
      </c>
      <c r="J44" s="33">
        <f t="shared" si="63"/>
        <v>-2089.1799265476161</v>
      </c>
      <c r="K44" s="33">
        <f t="shared" si="63"/>
        <v>-2125.3635250785678</v>
      </c>
      <c r="L44" s="33">
        <f t="shared" si="63"/>
        <v>-2162.2707955801397</v>
      </c>
      <c r="M44" s="33">
        <f t="shared" si="63"/>
        <v>-2199.9162114917422</v>
      </c>
      <c r="N44" s="33">
        <f t="shared" si="63"/>
        <v>-2238.3145357215772</v>
      </c>
      <c r="O44" s="33">
        <f t="shared" si="63"/>
        <v>-2277.4808264360086</v>
      </c>
      <c r="P44" s="33">
        <f t="shared" si="63"/>
        <v>-2317.4304429647291</v>
      </c>
      <c r="Q44" s="33">
        <f t="shared" si="63"/>
        <v>-2358.1790518240232</v>
      </c>
      <c r="R44" s="33">
        <f t="shared" si="63"/>
        <v>-2399.7426328605043</v>
      </c>
      <c r="S44" s="33">
        <f t="shared" si="63"/>
        <v>-2442.1374855177137</v>
      </c>
      <c r="T44" s="33">
        <f t="shared" si="63"/>
        <v>-2485.3802352280682</v>
      </c>
      <c r="U44" s="33">
        <f t="shared" si="63"/>
        <v>-2529.4878399326299</v>
      </c>
      <c r="V44" s="33">
        <f t="shared" si="63"/>
        <v>-2574.4775967312821</v>
      </c>
      <c r="W44" s="33">
        <f t="shared" si="63"/>
        <v>-2620.3671486659077</v>
      </c>
      <c r="X44" s="33">
        <f t="shared" si="63"/>
        <v>-2667.1744916392263</v>
      </c>
      <c r="Y44" s="33">
        <f t="shared" si="63"/>
        <v>-2714.9179814720105</v>
      </c>
      <c r="Z44" s="33">
        <f t="shared" si="63"/>
        <v>-2763.6163411014509</v>
      </c>
      <c r="AA44" s="33">
        <f t="shared" si="63"/>
        <v>-2813.2886679234798</v>
      </c>
      <c r="AB44" s="33">
        <f t="shared" si="63"/>
        <v>-2863.9544412819491</v>
      </c>
      <c r="AC44" s="33">
        <f t="shared" si="63"/>
        <v>-2915.6335301075878</v>
      </c>
      <c r="AD44" s="33">
        <f t="shared" si="63"/>
        <v>-2968.3462007097396</v>
      </c>
      <c r="AE44" s="33">
        <f t="shared" si="63"/>
        <v>-3022.1131247239341</v>
      </c>
      <c r="AF44" s="33">
        <f t="shared" si="63"/>
        <v>-3076.9553872184133</v>
      </c>
      <c r="AG44" s="33">
        <f t="shared" si="63"/>
        <v>-3132.8944949627817</v>
      </c>
      <c r="AM44" s="51">
        <f t="shared" si="3"/>
        <v>830</v>
      </c>
      <c r="AQ44" s="53"/>
    </row>
    <row r="45" spans="1:46" s="36" customFormat="1" ht="16.95" customHeight="1">
      <c r="A45" s="311" t="s">
        <v>48</v>
      </c>
      <c r="B45" s="312"/>
      <c r="C45" s="64"/>
      <c r="D45" s="33">
        <f>D44*(100%-$I$14)</f>
        <v>0</v>
      </c>
      <c r="E45" s="33">
        <f t="shared" ref="E45:AG45" si="64">E44*(100%-$I$14)</f>
        <v>0</v>
      </c>
      <c r="F45" s="33">
        <f t="shared" si="64"/>
        <v>0</v>
      </c>
      <c r="G45" s="33">
        <f t="shared" si="64"/>
        <v>-1643.4397798560001</v>
      </c>
      <c r="H45" s="33">
        <f t="shared" si="64"/>
        <v>-1671.6717754531203</v>
      </c>
      <c r="I45" s="33">
        <f t="shared" si="64"/>
        <v>-1700.4684109621824</v>
      </c>
      <c r="J45" s="33">
        <f t="shared" si="64"/>
        <v>-1729.8409791814263</v>
      </c>
      <c r="K45" s="33">
        <f t="shared" si="64"/>
        <v>-1759.8009987650544</v>
      </c>
      <c r="L45" s="33">
        <f t="shared" si="64"/>
        <v>-1790.3602187403558</v>
      </c>
      <c r="M45" s="33">
        <f t="shared" si="64"/>
        <v>-1821.5306231151626</v>
      </c>
      <c r="N45" s="33">
        <f t="shared" si="64"/>
        <v>-1853.3244355774661</v>
      </c>
      <c r="O45" s="33">
        <f t="shared" si="64"/>
        <v>-1885.7541242890152</v>
      </c>
      <c r="P45" s="33">
        <f t="shared" si="64"/>
        <v>-1918.8324067747958</v>
      </c>
      <c r="Q45" s="33">
        <f t="shared" si="64"/>
        <v>-1952.5722549102913</v>
      </c>
      <c r="R45" s="33">
        <f t="shared" si="64"/>
        <v>-1986.9869000084977</v>
      </c>
      <c r="S45" s="33">
        <f t="shared" si="64"/>
        <v>-2022.0898380086671</v>
      </c>
      <c r="T45" s="33">
        <f t="shared" si="64"/>
        <v>-2057.8948347688406</v>
      </c>
      <c r="U45" s="33">
        <f t="shared" si="64"/>
        <v>-2094.4159314642179</v>
      </c>
      <c r="V45" s="33">
        <f t="shared" si="64"/>
        <v>-2131.6674500935019</v>
      </c>
      <c r="W45" s="33">
        <f t="shared" si="64"/>
        <v>-2169.6639990953718</v>
      </c>
      <c r="X45" s="33">
        <f t="shared" si="64"/>
        <v>-2208.4204790772797</v>
      </c>
      <c r="Y45" s="33">
        <f t="shared" si="64"/>
        <v>-2247.9520886588248</v>
      </c>
      <c r="Z45" s="33">
        <f t="shared" si="64"/>
        <v>-2288.2743304320015</v>
      </c>
      <c r="AA45" s="33">
        <f t="shared" si="64"/>
        <v>-2329.4030170406413</v>
      </c>
      <c r="AB45" s="33">
        <f t="shared" si="64"/>
        <v>-2371.3542773814543</v>
      </c>
      <c r="AC45" s="33">
        <f t="shared" si="64"/>
        <v>-2414.1445629290829</v>
      </c>
      <c r="AD45" s="33">
        <f t="shared" si="64"/>
        <v>-2457.7906541876646</v>
      </c>
      <c r="AE45" s="33">
        <f t="shared" si="64"/>
        <v>-2502.3096672714178</v>
      </c>
      <c r="AF45" s="33">
        <f t="shared" si="64"/>
        <v>-2547.7190606168465</v>
      </c>
      <c r="AG45" s="33">
        <f t="shared" si="64"/>
        <v>-2594.0366418291833</v>
      </c>
      <c r="AL45" s="51"/>
      <c r="AM45" s="51">
        <f t="shared" si="3"/>
        <v>840</v>
      </c>
      <c r="AN45" s="51"/>
      <c r="AO45" s="51"/>
      <c r="AP45" s="51"/>
      <c r="AQ45" s="53"/>
      <c r="AR45" s="51"/>
      <c r="AS45" s="51"/>
      <c r="AT45" s="51"/>
    </row>
    <row r="46" spans="1:46" ht="16.95" customHeight="1">
      <c r="A46" s="319" t="s">
        <v>22</v>
      </c>
      <c r="B46" s="320"/>
      <c r="C46" s="66"/>
      <c r="D46" s="81" t="e">
        <f>(D45/$M$9)/$M$10</f>
        <v>#DIV/0!</v>
      </c>
      <c r="E46" s="81" t="e">
        <f t="shared" ref="E46:AG46" si="65">(E45/$M$9)/$M$10</f>
        <v>#DIV/0!</v>
      </c>
      <c r="F46" s="81" t="e">
        <f t="shared" si="65"/>
        <v>#DIV/0!</v>
      </c>
      <c r="G46" s="81" t="e">
        <f t="shared" si="65"/>
        <v>#DIV/0!</v>
      </c>
      <c r="H46" s="81" t="e">
        <f t="shared" si="65"/>
        <v>#DIV/0!</v>
      </c>
      <c r="I46" s="81" t="e">
        <f t="shared" si="65"/>
        <v>#DIV/0!</v>
      </c>
      <c r="J46" s="81" t="e">
        <f t="shared" si="65"/>
        <v>#DIV/0!</v>
      </c>
      <c r="K46" s="81" t="e">
        <f t="shared" si="65"/>
        <v>#DIV/0!</v>
      </c>
      <c r="L46" s="81" t="e">
        <f t="shared" si="65"/>
        <v>#DIV/0!</v>
      </c>
      <c r="M46" s="81" t="e">
        <f t="shared" si="65"/>
        <v>#DIV/0!</v>
      </c>
      <c r="N46" s="81" t="e">
        <f t="shared" si="65"/>
        <v>#DIV/0!</v>
      </c>
      <c r="O46" s="81" t="e">
        <f t="shared" si="65"/>
        <v>#DIV/0!</v>
      </c>
      <c r="P46" s="81" t="e">
        <f t="shared" si="65"/>
        <v>#DIV/0!</v>
      </c>
      <c r="Q46" s="81" t="e">
        <f t="shared" si="65"/>
        <v>#DIV/0!</v>
      </c>
      <c r="R46" s="81" t="e">
        <f t="shared" si="65"/>
        <v>#DIV/0!</v>
      </c>
      <c r="S46" s="81" t="e">
        <f t="shared" si="65"/>
        <v>#DIV/0!</v>
      </c>
      <c r="T46" s="81" t="e">
        <f t="shared" si="65"/>
        <v>#DIV/0!</v>
      </c>
      <c r="U46" s="81" t="e">
        <f t="shared" si="65"/>
        <v>#DIV/0!</v>
      </c>
      <c r="V46" s="81" t="e">
        <f t="shared" si="65"/>
        <v>#DIV/0!</v>
      </c>
      <c r="W46" s="81" t="e">
        <f t="shared" si="65"/>
        <v>#DIV/0!</v>
      </c>
      <c r="X46" s="81" t="e">
        <f t="shared" si="65"/>
        <v>#DIV/0!</v>
      </c>
      <c r="Y46" s="81" t="e">
        <f t="shared" si="65"/>
        <v>#DIV/0!</v>
      </c>
      <c r="Z46" s="81" t="e">
        <f t="shared" si="65"/>
        <v>#DIV/0!</v>
      </c>
      <c r="AA46" s="81" t="e">
        <f t="shared" si="65"/>
        <v>#DIV/0!</v>
      </c>
      <c r="AB46" s="81" t="e">
        <f t="shared" si="65"/>
        <v>#DIV/0!</v>
      </c>
      <c r="AC46" s="81" t="e">
        <f t="shared" si="65"/>
        <v>#DIV/0!</v>
      </c>
      <c r="AD46" s="81" t="e">
        <f t="shared" si="65"/>
        <v>#DIV/0!</v>
      </c>
      <c r="AE46" s="81" t="e">
        <f t="shared" si="65"/>
        <v>#DIV/0!</v>
      </c>
      <c r="AF46" s="81" t="e">
        <f t="shared" si="65"/>
        <v>#DIV/0!</v>
      </c>
      <c r="AG46" s="81" t="e">
        <f t="shared" si="65"/>
        <v>#DIV/0!</v>
      </c>
      <c r="AM46" s="51">
        <f t="shared" si="3"/>
        <v>850</v>
      </c>
    </row>
    <row r="47" spans="1:46" ht="16.95" customHeight="1">
      <c r="AH47" s="41"/>
      <c r="AI47" s="41"/>
      <c r="AM47" s="51">
        <f t="shared" si="3"/>
        <v>860</v>
      </c>
    </row>
    <row r="48" spans="1:46" ht="16.95" customHeight="1">
      <c r="A48" s="316" t="s">
        <v>204</v>
      </c>
      <c r="B48" s="317"/>
      <c r="C48" s="67"/>
      <c r="D48" s="40" t="str">
        <f>IF(D21&lt;=$M$13,D26/-PMT($M$12,$M$13,$M$11),"")</f>
        <v/>
      </c>
      <c r="E48" s="40" t="str">
        <f t="shared" ref="E48:AG48" si="66">IF(E21&lt;=$M$13,E26/-PMT($M$12,$M$13,$M$11),"")</f>
        <v/>
      </c>
      <c r="F48" s="40" t="str">
        <f t="shared" si="66"/>
        <v/>
      </c>
      <c r="G48" s="40" t="str">
        <f t="shared" si="66"/>
        <v/>
      </c>
      <c r="H48" s="40" t="str">
        <f t="shared" si="66"/>
        <v/>
      </c>
      <c r="I48" s="40" t="str">
        <f t="shared" si="66"/>
        <v/>
      </c>
      <c r="J48" s="40" t="str">
        <f t="shared" si="66"/>
        <v/>
      </c>
      <c r="K48" s="40" t="str">
        <f t="shared" si="66"/>
        <v/>
      </c>
      <c r="L48" s="40" t="str">
        <f t="shared" si="66"/>
        <v/>
      </c>
      <c r="M48" s="40" t="str">
        <f t="shared" si="66"/>
        <v/>
      </c>
      <c r="N48" s="40" t="str">
        <f t="shared" si="66"/>
        <v/>
      </c>
      <c r="O48" s="40" t="str">
        <f t="shared" si="66"/>
        <v/>
      </c>
      <c r="P48" s="40" t="str">
        <f t="shared" si="66"/>
        <v/>
      </c>
      <c r="Q48" s="40" t="str">
        <f t="shared" si="66"/>
        <v/>
      </c>
      <c r="R48" s="40" t="str">
        <f t="shared" si="66"/>
        <v/>
      </c>
      <c r="S48" s="40" t="str">
        <f t="shared" si="66"/>
        <v/>
      </c>
      <c r="T48" s="40" t="str">
        <f t="shared" si="66"/>
        <v/>
      </c>
      <c r="U48" s="40" t="str">
        <f t="shared" si="66"/>
        <v/>
      </c>
      <c r="V48" s="40" t="str">
        <f t="shared" si="66"/>
        <v/>
      </c>
      <c r="W48" s="40" t="str">
        <f t="shared" si="66"/>
        <v/>
      </c>
      <c r="X48" s="40" t="str">
        <f t="shared" si="66"/>
        <v/>
      </c>
      <c r="Y48" s="40" t="str">
        <f t="shared" si="66"/>
        <v/>
      </c>
      <c r="Z48" s="40" t="str">
        <f t="shared" si="66"/>
        <v/>
      </c>
      <c r="AA48" s="40" t="str">
        <f t="shared" si="66"/>
        <v/>
      </c>
      <c r="AB48" s="40" t="str">
        <f t="shared" si="66"/>
        <v/>
      </c>
      <c r="AC48" s="40" t="str">
        <f t="shared" si="66"/>
        <v/>
      </c>
      <c r="AD48" s="40" t="str">
        <f t="shared" si="66"/>
        <v/>
      </c>
      <c r="AE48" s="40" t="str">
        <f t="shared" si="66"/>
        <v/>
      </c>
      <c r="AF48" s="40" t="str">
        <f t="shared" si="66"/>
        <v/>
      </c>
      <c r="AG48" s="40" t="str">
        <f t="shared" si="66"/>
        <v/>
      </c>
      <c r="AH48" s="41"/>
      <c r="AM48" s="51">
        <f t="shared" ref="AM48:AM63" si="67">AM47+10</f>
        <v>870</v>
      </c>
    </row>
    <row r="49" spans="1:46" ht="16.95" customHeight="1">
      <c r="B49" s="103" t="s">
        <v>203</v>
      </c>
      <c r="C49" s="105" t="e">
        <f>AVERAGE(C48:W48)</f>
        <v>#DIV/0!</v>
      </c>
      <c r="D49" s="104" t="e">
        <f>IF(C49&lt;1.15,"Couverture de la dette insuffisante","")</f>
        <v>#DIV/0!</v>
      </c>
      <c r="X49" s="41"/>
      <c r="Y49" s="41"/>
      <c r="Z49" s="41"/>
      <c r="AA49" s="41"/>
      <c r="AB49" s="41"/>
      <c r="AC49" s="41"/>
      <c r="AD49" s="41"/>
      <c r="AE49" s="41"/>
      <c r="AF49" s="41"/>
      <c r="AG49" s="41"/>
    </row>
    <row r="50" spans="1:46" ht="16.95" customHeight="1">
      <c r="AM50" s="51">
        <f>AM48+10</f>
        <v>880</v>
      </c>
    </row>
    <row r="51" spans="1:46" ht="16.95" customHeight="1">
      <c r="A51" s="306" t="s">
        <v>17</v>
      </c>
      <c r="B51" s="306"/>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M51" s="51">
        <f t="shared" si="67"/>
        <v>890</v>
      </c>
    </row>
    <row r="52" spans="1:46" ht="16.95" customHeight="1" thickBot="1"/>
    <row r="53" spans="1:46" s="11" customFormat="1" ht="31.2" customHeight="1">
      <c r="B53" s="331" t="s">
        <v>202</v>
      </c>
      <c r="C53" s="332"/>
      <c r="D53" s="332"/>
      <c r="E53" s="212">
        <f>SUM(D35:W35)</f>
        <v>-64562.463688516153</v>
      </c>
      <c r="S53" s="331" t="s">
        <v>205</v>
      </c>
      <c r="T53" s="332"/>
      <c r="U53" s="332"/>
      <c r="V53" s="332"/>
      <c r="W53" s="212">
        <f>SUM(D35:AG35)</f>
        <v>-105903.74177585985</v>
      </c>
      <c r="AL53" s="198"/>
      <c r="AM53" s="198">
        <f>AM51+10</f>
        <v>900</v>
      </c>
      <c r="AN53" s="198"/>
      <c r="AO53" s="198"/>
      <c r="AP53" s="198"/>
      <c r="AQ53" s="198"/>
      <c r="AR53" s="198"/>
      <c r="AS53" s="198"/>
      <c r="AT53" s="198"/>
    </row>
    <row r="54" spans="1:46" ht="16.95" customHeight="1">
      <c r="B54" s="326" t="s">
        <v>18</v>
      </c>
      <c r="C54" s="327"/>
      <c r="D54" s="327"/>
      <c r="E54" s="213" t="e">
        <f>W41</f>
        <v>#DIV/0!</v>
      </c>
      <c r="F54" s="42"/>
      <c r="S54" s="321" t="s">
        <v>206</v>
      </c>
      <c r="T54" s="322"/>
      <c r="U54" s="322"/>
      <c r="V54" s="322"/>
      <c r="W54" s="213" t="e">
        <f>AG41</f>
        <v>#DIV/0!</v>
      </c>
      <c r="AM54" s="51">
        <f t="shared" si="67"/>
        <v>910</v>
      </c>
    </row>
    <row r="55" spans="1:46" ht="14.4" customHeight="1">
      <c r="B55" s="326" t="s">
        <v>39</v>
      </c>
      <c r="C55" s="327"/>
      <c r="D55" s="327"/>
      <c r="E55" s="213">
        <f>SUM(D43:W43)</f>
        <v>-16661.653706554847</v>
      </c>
      <c r="S55" s="321" t="s">
        <v>39</v>
      </c>
      <c r="T55" s="322"/>
      <c r="U55" s="322"/>
      <c r="V55" s="322"/>
      <c r="W55" s="213">
        <f>SUM(D43:AG43)</f>
        <v>-29064.037132757945</v>
      </c>
      <c r="AM55" s="51">
        <f t="shared" si="67"/>
        <v>920</v>
      </c>
    </row>
    <row r="56" spans="1:46" ht="14.4" customHeight="1">
      <c r="B56" s="326" t="s">
        <v>19</v>
      </c>
      <c r="C56" s="327"/>
      <c r="D56" s="327"/>
      <c r="E56" s="214" t="e">
        <f>IRR(C38:W38)</f>
        <v>#NUM!</v>
      </c>
      <c r="S56" s="321" t="s">
        <v>19</v>
      </c>
      <c r="T56" s="322"/>
      <c r="U56" s="322"/>
      <c r="V56" s="322"/>
      <c r="W56" s="214" t="e">
        <f>IRR(C38:AG38)</f>
        <v>#NUM!</v>
      </c>
      <c r="AM56" s="51">
        <f t="shared" si="67"/>
        <v>930</v>
      </c>
    </row>
    <row r="57" spans="1:46" ht="26.4" customHeight="1">
      <c r="B57" s="321" t="s">
        <v>20</v>
      </c>
      <c r="C57" s="322"/>
      <c r="D57" s="322"/>
      <c r="E57" s="215" t="e">
        <f>AVERAGE(D35:W35)/M8</f>
        <v>#DIV/0!</v>
      </c>
      <c r="S57" s="321" t="s">
        <v>20</v>
      </c>
      <c r="T57" s="322"/>
      <c r="U57" s="322"/>
      <c r="V57" s="322"/>
      <c r="W57" s="215" t="e">
        <f>AVERAGE(D35:AG35)/M8</f>
        <v>#DIV/0!</v>
      </c>
      <c r="AM57" s="51">
        <f t="shared" si="67"/>
        <v>940</v>
      </c>
    </row>
    <row r="58" spans="1:46" ht="28.8" customHeight="1">
      <c r="B58" s="321" t="s">
        <v>40</v>
      </c>
      <c r="C58" s="322"/>
      <c r="D58" s="322"/>
      <c r="E58" s="215" t="e">
        <f>AVERAGE(D46:W46)</f>
        <v>#DIV/0!</v>
      </c>
      <c r="S58" s="321" t="s">
        <v>254</v>
      </c>
      <c r="T58" s="322"/>
      <c r="U58" s="322"/>
      <c r="V58" s="322"/>
      <c r="W58" s="215" t="e">
        <f>AVERAGE(D46:AG46)</f>
        <v>#DIV/0!</v>
      </c>
      <c r="AM58" s="51">
        <f t="shared" si="67"/>
        <v>950</v>
      </c>
    </row>
    <row r="59" spans="1:46" ht="16.95" customHeight="1" thickBot="1">
      <c r="B59" s="301" t="s">
        <v>257</v>
      </c>
      <c r="C59" s="302"/>
      <c r="D59" s="302"/>
      <c r="E59" s="216">
        <f>IF(COUNTIF((D41:AG41),"&lt;0")&gt;20,"&gt; 20 ans",COUNTIF((D41:AG41),"&lt;0"))</f>
        <v>0</v>
      </c>
      <c r="S59" s="301" t="s">
        <v>257</v>
      </c>
      <c r="T59" s="302"/>
      <c r="U59" s="302"/>
      <c r="V59" s="302"/>
      <c r="W59" s="216">
        <f>IF(COUNTIF((D41:AG41),"&lt;0")&gt;30,"&gt; 30 ans",COUNTIF((D41:AG41),"&lt;0"))</f>
        <v>0</v>
      </c>
      <c r="AM59" s="51">
        <f t="shared" si="67"/>
        <v>960</v>
      </c>
    </row>
    <row r="60" spans="1:46" ht="16.95" customHeight="1">
      <c r="A60"/>
      <c r="AM60" s="51">
        <f t="shared" si="67"/>
        <v>970</v>
      </c>
    </row>
    <row r="61" spans="1:46" customFormat="1" ht="16.95" customHeight="1" thickBo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L61" s="57"/>
      <c r="AM61" s="51">
        <f t="shared" si="67"/>
        <v>980</v>
      </c>
      <c r="AN61" s="57"/>
      <c r="AO61" s="57"/>
      <c r="AP61" s="57"/>
      <c r="AQ61" s="57"/>
      <c r="AR61" s="57"/>
      <c r="AS61" s="57"/>
      <c r="AT61" s="57"/>
    </row>
    <row r="62" spans="1:46" ht="16.95" customHeight="1" thickTop="1" thickBot="1">
      <c r="A62"/>
      <c r="B62" s="328" t="e">
        <f>IF(E54&gt;0,"VAN positive : viable","VAN négative : non viable")</f>
        <v>#DIV/0!</v>
      </c>
      <c r="C62" s="329"/>
      <c r="D62" s="329"/>
      <c r="E62" s="330"/>
      <c r="F62"/>
      <c r="G62"/>
      <c r="H62"/>
      <c r="I62"/>
      <c r="J62"/>
      <c r="K62"/>
      <c r="L62"/>
      <c r="M62"/>
      <c r="N62"/>
      <c r="O62"/>
      <c r="P62"/>
      <c r="Q62"/>
      <c r="R62"/>
      <c r="S62" s="323" t="e">
        <f>IF(W54&gt;0,"VAN positive : viable","VAN négative : non viable")</f>
        <v>#DIV/0!</v>
      </c>
      <c r="T62" s="324"/>
      <c r="U62" s="324"/>
      <c r="V62" s="324"/>
      <c r="W62" s="325"/>
      <c r="X62"/>
      <c r="Y62"/>
      <c r="Z62"/>
      <c r="AA62"/>
      <c r="AB62"/>
      <c r="AC62"/>
      <c r="AD62"/>
      <c r="AE62"/>
      <c r="AF62"/>
      <c r="AG62"/>
      <c r="AM62" s="51">
        <f t="shared" si="67"/>
        <v>990</v>
      </c>
    </row>
    <row r="63" spans="1:46" ht="16.95" customHeight="1" thickTop="1" thickBot="1">
      <c r="E63" s="43"/>
      <c r="S63" s="29"/>
      <c r="T63" s="29"/>
      <c r="U63" s="29"/>
      <c r="V63" s="29"/>
      <c r="W63" s="29"/>
      <c r="AM63" s="51">
        <f t="shared" si="67"/>
        <v>1000</v>
      </c>
    </row>
    <row r="64" spans="1:46" ht="16.95" customHeight="1" thickTop="1" thickBot="1">
      <c r="B64" s="298" t="e">
        <f>IF(E56&gt;M12,"TRI &gt; Taux emprunt : viable","TRI &lt; Taux emprunt : non viable")</f>
        <v>#NUM!</v>
      </c>
      <c r="C64" s="299"/>
      <c r="D64" s="299"/>
      <c r="E64" s="300"/>
      <c r="S64" s="298" t="e">
        <f>IF(W56&gt;M12,"TRI &gt; Taux emprunt : viable","TRI &lt; Taux emprunt : non viable")</f>
        <v>#NUM!</v>
      </c>
      <c r="T64" s="299"/>
      <c r="U64" s="299"/>
      <c r="V64" s="299"/>
      <c r="W64" s="300"/>
      <c r="AM64" s="2"/>
    </row>
    <row r="65" ht="16.95" customHeight="1" thickTop="1"/>
  </sheetData>
  <sheetProtection algorithmName="SHA-512" hashValue="78D8jhVDEpWi4dnc/D3YN5PdG1pSHMRpoWJR0vQbu4uDdcoi+Vd1HyzKRdgOtc8P0z4iohh+XibRAsRYyzLM9Q==" saltValue="8VRoRu1QsZIka2VbPIRdjw==" spinCount="100000" sheet="1" objects="1" scenarios="1"/>
  <mergeCells count="102">
    <mergeCell ref="AF51:AG51"/>
    <mergeCell ref="S53:V53"/>
    <mergeCell ref="S54:V54"/>
    <mergeCell ref="S55:V55"/>
    <mergeCell ref="S56:V56"/>
    <mergeCell ref="R51:S51"/>
    <mergeCell ref="T51:U51"/>
    <mergeCell ref="V51:W51"/>
    <mergeCell ref="X51:Y51"/>
    <mergeCell ref="Z51:AA51"/>
    <mergeCell ref="AB51:AC51"/>
    <mergeCell ref="AD51:AE51"/>
    <mergeCell ref="S57:V57"/>
    <mergeCell ref="S58:V58"/>
    <mergeCell ref="S62:W62"/>
    <mergeCell ref="B55:D55"/>
    <mergeCell ref="B56:D56"/>
    <mergeCell ref="B57:D57"/>
    <mergeCell ref="B58:D58"/>
    <mergeCell ref="B62:E62"/>
    <mergeCell ref="N51:O51"/>
    <mergeCell ref="P51:Q51"/>
    <mergeCell ref="I51:K51"/>
    <mergeCell ref="L51:M51"/>
    <mergeCell ref="A51:E51"/>
    <mergeCell ref="F51:H51"/>
    <mergeCell ref="B53:D53"/>
    <mergeCell ref="B54:D54"/>
    <mergeCell ref="X19:Y19"/>
    <mergeCell ref="Z19:AA19"/>
    <mergeCell ref="AB19:AC19"/>
    <mergeCell ref="AD19:AE19"/>
    <mergeCell ref="AF19:AG19"/>
    <mergeCell ref="E14:H14"/>
    <mergeCell ref="E15:H15"/>
    <mergeCell ref="A16:B16"/>
    <mergeCell ref="A15:B15"/>
    <mergeCell ref="A14:B14"/>
    <mergeCell ref="K14:L14"/>
    <mergeCell ref="K11:L11"/>
    <mergeCell ref="O13:Q13"/>
    <mergeCell ref="K12:L12"/>
    <mergeCell ref="A27:B27"/>
    <mergeCell ref="A32:B32"/>
    <mergeCell ref="A25:B25"/>
    <mergeCell ref="A22:B22"/>
    <mergeCell ref="A23:B23"/>
    <mergeCell ref="A24:B24"/>
    <mergeCell ref="A26:B26"/>
    <mergeCell ref="E16:H16"/>
    <mergeCell ref="A17:B17"/>
    <mergeCell ref="O12:Q12"/>
    <mergeCell ref="E11:H11"/>
    <mergeCell ref="E12:H12"/>
    <mergeCell ref="E13:H13"/>
    <mergeCell ref="K13:L13"/>
    <mergeCell ref="A45:B45"/>
    <mergeCell ref="A48:B48"/>
    <mergeCell ref="V19:W19"/>
    <mergeCell ref="A19:E19"/>
    <mergeCell ref="F19:H19"/>
    <mergeCell ref="I19:K19"/>
    <mergeCell ref="L19:M19"/>
    <mergeCell ref="N19:O19"/>
    <mergeCell ref="P19:Q19"/>
    <mergeCell ref="R19:S19"/>
    <mergeCell ref="T19:U19"/>
    <mergeCell ref="A28:B28"/>
    <mergeCell ref="A29:B29"/>
    <mergeCell ref="A33:B33"/>
    <mergeCell ref="A43:B43"/>
    <mergeCell ref="A41:B41"/>
    <mergeCell ref="A35:B35"/>
    <mergeCell ref="A37:B37"/>
    <mergeCell ref="A40:B40"/>
    <mergeCell ref="A38:B38"/>
    <mergeCell ref="A44:B44"/>
    <mergeCell ref="A46:B46"/>
    <mergeCell ref="B64:E64"/>
    <mergeCell ref="B59:D59"/>
    <mergeCell ref="S59:V59"/>
    <mergeCell ref="S64:W64"/>
    <mergeCell ref="A1:W1"/>
    <mergeCell ref="K9:L9"/>
    <mergeCell ref="K10:L10"/>
    <mergeCell ref="K6:N6"/>
    <mergeCell ref="O8:P8"/>
    <mergeCell ref="O9:P9"/>
    <mergeCell ref="O10:P10"/>
    <mergeCell ref="E9:H9"/>
    <mergeCell ref="E10:H10"/>
    <mergeCell ref="K8:L8"/>
    <mergeCell ref="A9:B9"/>
    <mergeCell ref="A10:B10"/>
    <mergeCell ref="E8:H8"/>
    <mergeCell ref="T8:V8"/>
    <mergeCell ref="T9:V9"/>
    <mergeCell ref="A8:B8"/>
    <mergeCell ref="A34:B34"/>
    <mergeCell ref="A39:B39"/>
    <mergeCell ref="A30:B30"/>
    <mergeCell ref="A31:B31"/>
  </mergeCells>
  <conditionalFormatting sqref="B62">
    <cfRule type="containsText" dxfId="9" priority="8" operator="containsText" text="VAN négative : non viable">
      <formula>NOT(ISERROR(SEARCH("VAN négative : non viable",B62)))</formula>
    </cfRule>
    <cfRule type="containsText" dxfId="8" priority="9" operator="containsText" text="VAN positive : viable">
      <formula>NOT(ISERROR(SEARCH("VAN positive : viable",B62)))</formula>
    </cfRule>
  </conditionalFormatting>
  <conditionalFormatting sqref="B64">
    <cfRule type="cellIs" dxfId="7" priority="6" operator="equal">
      <formula>"TRI &lt; Taux emprunt : non viable"</formula>
    </cfRule>
    <cfRule type="cellIs" dxfId="6" priority="7" operator="equal">
      <formula>"TRI &gt; Taux emprunt : viable"</formula>
    </cfRule>
  </conditionalFormatting>
  <conditionalFormatting sqref="E53:E55">
    <cfRule type="cellIs" dxfId="5" priority="14" operator="lessThan">
      <formula>0</formula>
    </cfRule>
  </conditionalFormatting>
  <conditionalFormatting sqref="S62">
    <cfRule type="containsText" dxfId="4" priority="4" operator="containsText" text="VAN négative : non viable">
      <formula>NOT(ISERROR(SEARCH("VAN négative : non viable",S62)))</formula>
    </cfRule>
    <cfRule type="containsText" dxfId="3" priority="5" operator="containsText" text="VAN positive : viable">
      <formula>NOT(ISERROR(SEARCH("VAN positive : viable",S62)))</formula>
    </cfRule>
  </conditionalFormatting>
  <conditionalFormatting sqref="S64">
    <cfRule type="cellIs" dxfId="2" priority="2" operator="equal">
      <formula>"TRI &lt; Taux emprunt : non viable"</formula>
    </cfRule>
    <cfRule type="cellIs" dxfId="1" priority="3" operator="equal">
      <formula>"TRI &gt; Taux emprunt : viable"</formula>
    </cfRule>
  </conditionalFormatting>
  <conditionalFormatting sqref="W53:W55">
    <cfRule type="cellIs" dxfId="0" priority="1" operator="lessThan">
      <formula>0</formula>
    </cfRule>
  </conditionalFormatting>
  <dataValidations count="3">
    <dataValidation type="list" allowBlank="1" showInputMessage="1" showErrorMessage="1" sqref="B4" xr:uid="{00000000-0002-0000-0000-000000000000}">
      <formula1>$AP$2:$AP$3</formula1>
    </dataValidation>
    <dataValidation type="list" allowBlank="1" showInputMessage="1" showErrorMessage="1" sqref="I12" xr:uid="{00000000-0002-0000-0000-000001000000}">
      <formula1>$AQ$2:$AQ$24</formula1>
    </dataValidation>
    <dataValidation type="list" allowBlank="1" showInputMessage="1" showErrorMessage="1" sqref="M13" xr:uid="{00000000-0002-0000-0000-000002000000}">
      <formula1>$AN$2:$AN$22</formula1>
    </dataValidation>
  </dataValidations>
  <pageMargins left="0.19685039370078741" right="0.31496062992125984" top="0.31496062992125984" bottom="0.39370078740157483" header="0.31496062992125984" footer="0.31496062992125984"/>
  <pageSetup paperSize="9" scale="68" orientation="landscape" r:id="rId1"/>
  <colBreaks count="1" manualBreakCount="1">
    <brk id="2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Copyright</vt:lpstr>
      <vt:lpstr>ACCUEIL</vt:lpstr>
      <vt:lpstr>ENCAISSEMENTS</vt:lpstr>
      <vt:lpstr>DECAISSEMENTS</vt:lpstr>
      <vt:lpstr>SIG</vt:lpstr>
      <vt:lpstr>index_tarif</vt:lpstr>
      <vt:lpstr>inflation</vt:lpstr>
      <vt:lpstr>perte_prod</vt:lpstr>
      <vt:lpstr>taux_actu</vt:lpstr>
      <vt:lpstr>ENCAISSEMENTS!Zone_d_impression</vt:lpstr>
      <vt:lpstr>SIG!Zone_d_impression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npoize</dc:creator>
  <cp:lastModifiedBy>Etienne Jouin</cp:lastModifiedBy>
  <cp:lastPrinted>2015-07-06T14:54:07Z</cp:lastPrinted>
  <dcterms:created xsi:type="dcterms:W3CDTF">2012-12-14T09:34:10Z</dcterms:created>
  <dcterms:modified xsi:type="dcterms:W3CDTF">2025-04-18T14:50:05Z</dcterms:modified>
</cp:coreProperties>
</file>