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Nextcloud\5-OUTILS\3_DEVELOPPEMENT\"/>
    </mc:Choice>
  </mc:AlternateContent>
  <xr:revisionPtr revIDLastSave="0" documentId="13_ncr:1_{F5EC706E-DE6B-4B49-A5CE-3A0F5DB9674A}" xr6:coauthVersionLast="47" xr6:coauthVersionMax="47" xr10:uidLastSave="{00000000-0000-0000-0000-000000000000}"/>
  <bookViews>
    <workbookView xWindow="20370" yWindow="-120" windowWidth="25440" windowHeight="15390" tabRatio="731" xr2:uid="{00000000-000D-0000-FFFF-FFFF00000000}"/>
  </bookViews>
  <sheets>
    <sheet name="ACCUEIL" sheetId="5" r:id="rId1"/>
    <sheet name="DECAISSEMENTS" sheetId="4" r:id="rId2"/>
    <sheet name="ENCAISSEMENTS" sheetId="3" r:id="rId3"/>
    <sheet name="SIG" sheetId="1" r:id="rId4"/>
  </sheets>
  <definedNames>
    <definedName name="index_tarif">SIG!$I$9</definedName>
    <definedName name="inflation">SIG!$I$10</definedName>
    <definedName name="perte_prod">SIG!$I$8</definedName>
    <definedName name="taux_actu">SIG!$I$13</definedName>
    <definedName name="_xlnm.Print_Area" localSheetId="2">ENCAISSEMENTS!$A$1:$T$46</definedName>
    <definedName name="_xlnm.Print_Area" localSheetId="3">SIG!$A$1:$W$48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" l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D42" i="1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36" i="4"/>
  <c r="B37" i="4" l="1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36" i="4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11" i="3"/>
  <c r="P12" i="3" l="1"/>
  <c r="S12" i="3" s="1"/>
  <c r="F11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O12" i="3"/>
  <c r="L12" i="3"/>
  <c r="I12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12" i="3"/>
  <c r="P15" i="3"/>
  <c r="S15" i="3" s="1"/>
  <c r="P16" i="3"/>
  <c r="S16" i="3" s="1"/>
  <c r="P17" i="3"/>
  <c r="S17" i="3" s="1"/>
  <c r="P18" i="3"/>
  <c r="S18" i="3" s="1"/>
  <c r="P19" i="3"/>
  <c r="S19" i="3" s="1"/>
  <c r="P20" i="3"/>
  <c r="S20" i="3" s="1"/>
  <c r="P21" i="3"/>
  <c r="S21" i="3" s="1"/>
  <c r="P22" i="3"/>
  <c r="S22" i="3" s="1"/>
  <c r="P23" i="3"/>
  <c r="S23" i="3" s="1"/>
  <c r="P24" i="3"/>
  <c r="S24" i="3" s="1"/>
  <c r="P25" i="3"/>
  <c r="S25" i="3" s="1"/>
  <c r="P26" i="3"/>
  <c r="S26" i="3" s="1"/>
  <c r="P27" i="3"/>
  <c r="S27" i="3" s="1"/>
  <c r="P28" i="3"/>
  <c r="S28" i="3" s="1"/>
  <c r="P29" i="3"/>
  <c r="S29" i="3" s="1"/>
  <c r="P30" i="3"/>
  <c r="S30" i="3" s="1"/>
  <c r="P14" i="3" l="1"/>
  <c r="S14" i="3" s="1"/>
  <c r="P13" i="3"/>
  <c r="S13" i="3" s="1"/>
  <c r="R11" i="3"/>
  <c r="P11" i="3"/>
  <c r="S11" i="3" s="1"/>
  <c r="R12" i="3"/>
  <c r="T12" i="3" s="1"/>
  <c r="R27" i="3"/>
  <c r="T27" i="3" s="1"/>
  <c r="R23" i="3"/>
  <c r="T23" i="3" s="1"/>
  <c r="R19" i="3"/>
  <c r="T19" i="3" s="1"/>
  <c r="R15" i="3"/>
  <c r="T15" i="3" s="1"/>
  <c r="R26" i="3"/>
  <c r="T26" i="3" s="1"/>
  <c r="R18" i="3"/>
  <c r="T18" i="3" s="1"/>
  <c r="R29" i="3"/>
  <c r="T29" i="3" s="1"/>
  <c r="R25" i="3"/>
  <c r="T25" i="3" s="1"/>
  <c r="R21" i="3"/>
  <c r="T21" i="3" s="1"/>
  <c r="R17" i="3"/>
  <c r="T17" i="3" s="1"/>
  <c r="R13" i="3"/>
  <c r="T13" i="3" s="1"/>
  <c r="R30" i="3"/>
  <c r="T30" i="3" s="1"/>
  <c r="R22" i="3"/>
  <c r="T22" i="3" s="1"/>
  <c r="R14" i="3"/>
  <c r="T14" i="3" s="1"/>
  <c r="R28" i="3"/>
  <c r="T28" i="3" s="1"/>
  <c r="R24" i="3"/>
  <c r="T24" i="3" s="1"/>
  <c r="R20" i="3"/>
  <c r="T20" i="3" s="1"/>
  <c r="R16" i="3"/>
  <c r="T16" i="3" s="1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36" i="4"/>
  <c r="T11" i="3" l="1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36" i="4"/>
  <c r="H32" i="4" l="1"/>
  <c r="AB11" i="1" l="1"/>
  <c r="AB10" i="1" s="1"/>
  <c r="AB9" i="1" s="1"/>
  <c r="AB8" i="1" s="1"/>
  <c r="AB7" i="1" s="1"/>
  <c r="AB6" i="1" s="1"/>
  <c r="AB5" i="1" s="1"/>
  <c r="AB4" i="1" s="1"/>
  <c r="AB3" i="1" s="1"/>
  <c r="AB2" i="1" s="1"/>
  <c r="C16" i="1"/>
  <c r="C15" i="1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11" i="3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3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6" i="4"/>
  <c r="L55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C36" i="4"/>
  <c r="E43" i="1"/>
  <c r="E44" i="1" s="1"/>
  <c r="E45" i="1" s="1"/>
  <c r="F43" i="1"/>
  <c r="F44" i="1" s="1"/>
  <c r="F45" i="1" s="1"/>
  <c r="D43" i="1"/>
  <c r="D44" i="1" s="1"/>
  <c r="D45" i="1" s="1"/>
  <c r="AF5" i="1"/>
  <c r="AF6" i="1"/>
  <c r="AF7" i="1" s="1"/>
  <c r="AF8" i="1" s="1"/>
  <c r="AF9" i="1" s="1"/>
  <c r="AF10" i="1" s="1"/>
  <c r="AF11" i="1" s="1"/>
  <c r="AF12" i="1" s="1"/>
  <c r="AF13" i="1" s="1"/>
  <c r="AF14" i="1" s="1"/>
  <c r="AF16" i="1" s="1"/>
  <c r="AF17" i="1" s="1"/>
  <c r="AF18" i="1" s="1"/>
  <c r="AF19" i="1" s="1"/>
  <c r="AF20" i="1" s="1"/>
  <c r="AF21" i="1" s="1"/>
  <c r="AF22" i="1" s="1"/>
  <c r="AF23" i="1" s="1"/>
  <c r="AF24" i="1" s="1"/>
  <c r="C14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D30" i="1"/>
  <c r="AD7" i="1"/>
  <c r="AD8" i="1" s="1"/>
  <c r="AD9" i="1" s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B16" i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M8" i="1"/>
  <c r="C38" i="1" s="1"/>
  <c r="U47" i="1"/>
  <c r="V47" i="1"/>
  <c r="W47" i="1"/>
  <c r="S29" i="1"/>
  <c r="T29" i="1"/>
  <c r="U29" i="1"/>
  <c r="V29" i="1"/>
  <c r="W29" i="1"/>
  <c r="T47" i="1"/>
  <c r="S47" i="1"/>
  <c r="K56" i="4" l="1"/>
  <c r="R31" i="3"/>
  <c r="S31" i="3"/>
  <c r="T31" i="3"/>
  <c r="C12" i="1" s="1"/>
  <c r="D21" i="1" s="1"/>
  <c r="P31" i="3"/>
  <c r="M31" i="3"/>
  <c r="J31" i="3"/>
  <c r="G31" i="3"/>
  <c r="G56" i="4"/>
  <c r="H56" i="4"/>
  <c r="J26" i="4"/>
  <c r="I26" i="4"/>
  <c r="J56" i="4"/>
  <c r="K26" i="4"/>
  <c r="E31" i="3"/>
  <c r="C10" i="1" s="1"/>
  <c r="G26" i="4"/>
  <c r="I56" i="4"/>
  <c r="D56" i="4"/>
  <c r="F56" i="4"/>
  <c r="C31" i="3"/>
  <c r="C8" i="1" s="1"/>
  <c r="H26" i="4"/>
  <c r="E26" i="4"/>
  <c r="L26" i="4"/>
  <c r="D31" i="3"/>
  <c r="C9" i="1" s="1"/>
  <c r="F26" i="4"/>
  <c r="C26" i="4"/>
  <c r="E56" i="4"/>
  <c r="D26" i="4"/>
  <c r="C56" i="4"/>
  <c r="L56" i="4" l="1"/>
  <c r="C13" i="1" s="1"/>
  <c r="D22" i="1" s="1"/>
  <c r="D23" i="1" s="1"/>
  <c r="E21" i="1"/>
  <c r="F21" i="1"/>
  <c r="K21" i="1"/>
  <c r="H21" i="1"/>
  <c r="U21" i="1"/>
  <c r="W21" i="1"/>
  <c r="N21" i="1"/>
  <c r="O21" i="1"/>
  <c r="L21" i="1"/>
  <c r="I21" i="1"/>
  <c r="J21" i="1"/>
  <c r="G21" i="1"/>
  <c r="V21" i="1"/>
  <c r="S21" i="1"/>
  <c r="P21" i="1"/>
  <c r="M21" i="1"/>
  <c r="R21" i="1"/>
  <c r="T21" i="1"/>
  <c r="Q21" i="1"/>
  <c r="E24" i="1"/>
  <c r="I24" i="1"/>
  <c r="M24" i="1"/>
  <c r="Q24" i="1"/>
  <c r="U24" i="1"/>
  <c r="V24" i="1"/>
  <c r="G24" i="1"/>
  <c r="K24" i="1"/>
  <c r="O24" i="1"/>
  <c r="W24" i="1"/>
  <c r="F24" i="1"/>
  <c r="J24" i="1"/>
  <c r="N24" i="1"/>
  <c r="R24" i="1"/>
  <c r="S24" i="1"/>
  <c r="H24" i="1"/>
  <c r="L24" i="1"/>
  <c r="P24" i="1"/>
  <c r="T24" i="1"/>
  <c r="D24" i="1"/>
  <c r="M26" i="4"/>
  <c r="C11" i="1" s="1"/>
  <c r="I26" i="1" s="1"/>
  <c r="V10" i="1"/>
  <c r="D25" i="1" l="1"/>
  <c r="U26" i="1"/>
  <c r="M11" i="1"/>
  <c r="G26" i="1"/>
  <c r="T26" i="1"/>
  <c r="F26" i="1"/>
  <c r="E26" i="1"/>
  <c r="R26" i="1"/>
  <c r="Q26" i="1"/>
  <c r="C40" i="1"/>
  <c r="H26" i="1"/>
  <c r="V26" i="1"/>
  <c r="C37" i="1"/>
  <c r="P26" i="1"/>
  <c r="J26" i="1"/>
  <c r="W26" i="1"/>
  <c r="S26" i="1"/>
  <c r="L26" i="1"/>
  <c r="N26" i="1"/>
  <c r="K26" i="1"/>
  <c r="V8" i="1"/>
  <c r="O26" i="1"/>
  <c r="K22" i="1"/>
  <c r="K23" i="1" s="1"/>
  <c r="K25" i="1" s="1"/>
  <c r="N22" i="1"/>
  <c r="N23" i="1" s="1"/>
  <c r="N25" i="1" s="1"/>
  <c r="P22" i="1"/>
  <c r="P23" i="1" s="1"/>
  <c r="P25" i="1" s="1"/>
  <c r="H22" i="1"/>
  <c r="H23" i="1" s="1"/>
  <c r="H25" i="1" s="1"/>
  <c r="Q22" i="1"/>
  <c r="Q23" i="1" s="1"/>
  <c r="Q25" i="1" s="1"/>
  <c r="S22" i="1"/>
  <c r="S23" i="1" s="1"/>
  <c r="S25" i="1" s="1"/>
  <c r="V22" i="1"/>
  <c r="V23" i="1" s="1"/>
  <c r="V25" i="1" s="1"/>
  <c r="M22" i="1"/>
  <c r="M23" i="1" s="1"/>
  <c r="M25" i="1" s="1"/>
  <c r="J22" i="1"/>
  <c r="J23" i="1" s="1"/>
  <c r="J25" i="1" s="1"/>
  <c r="F22" i="1"/>
  <c r="F23" i="1" s="1"/>
  <c r="F25" i="1" s="1"/>
  <c r="E22" i="1"/>
  <c r="E23" i="1" s="1"/>
  <c r="E25" i="1" s="1"/>
  <c r="O22" i="1"/>
  <c r="O23" i="1" s="1"/>
  <c r="O25" i="1" s="1"/>
  <c r="L22" i="1"/>
  <c r="L23" i="1" s="1"/>
  <c r="L25" i="1" s="1"/>
  <c r="G22" i="1"/>
  <c r="G23" i="1" s="1"/>
  <c r="G25" i="1" s="1"/>
  <c r="R22" i="1"/>
  <c r="R23" i="1" s="1"/>
  <c r="R25" i="1" s="1"/>
  <c r="T22" i="1"/>
  <c r="T23" i="1" s="1"/>
  <c r="T25" i="1" s="1"/>
  <c r="W22" i="1"/>
  <c r="W23" i="1" s="1"/>
  <c r="W25" i="1" s="1"/>
  <c r="U22" i="1"/>
  <c r="U23" i="1" s="1"/>
  <c r="U25" i="1" s="1"/>
  <c r="I22" i="1"/>
  <c r="I23" i="1" s="1"/>
  <c r="I25" i="1" s="1"/>
  <c r="B57" i="1"/>
  <c r="D26" i="1"/>
  <c r="M26" i="1"/>
  <c r="R47" i="1" l="1"/>
  <c r="R29" i="1"/>
  <c r="L47" i="1"/>
  <c r="Q47" i="1"/>
  <c r="F47" i="1"/>
  <c r="N47" i="1"/>
  <c r="K47" i="1"/>
  <c r="H47" i="1"/>
  <c r="O47" i="1"/>
  <c r="M47" i="1"/>
  <c r="E47" i="1"/>
  <c r="P47" i="1"/>
  <c r="I13" i="1"/>
  <c r="O29" i="1"/>
  <c r="K29" i="1"/>
  <c r="F29" i="1"/>
  <c r="D29" i="1"/>
  <c r="N29" i="1"/>
  <c r="I29" i="1"/>
  <c r="L29" i="1"/>
  <c r="H29" i="1"/>
  <c r="G29" i="1"/>
  <c r="P29" i="1"/>
  <c r="J29" i="1"/>
  <c r="M29" i="1"/>
  <c r="Q29" i="1"/>
  <c r="E29" i="1"/>
  <c r="D47" i="1"/>
  <c r="J28" i="1"/>
  <c r="J47" i="1"/>
  <c r="G28" i="1"/>
  <c r="G47" i="1"/>
  <c r="I28" i="1"/>
  <c r="I47" i="1"/>
  <c r="O28" i="1"/>
  <c r="D28" i="1"/>
  <c r="T28" i="1"/>
  <c r="T31" i="1" s="1"/>
  <c r="Q28" i="1"/>
  <c r="H28" i="1"/>
  <c r="E28" i="1"/>
  <c r="U28" i="1"/>
  <c r="U31" i="1" s="1"/>
  <c r="F28" i="1"/>
  <c r="S28" i="1"/>
  <c r="S31" i="1" s="1"/>
  <c r="N28" i="1"/>
  <c r="V28" i="1"/>
  <c r="V31" i="1" s="1"/>
  <c r="R28" i="1"/>
  <c r="R31" i="1" s="1"/>
  <c r="P28" i="1"/>
  <c r="W28" i="1"/>
  <c r="W31" i="1" s="1"/>
  <c r="L28" i="1"/>
  <c r="K28" i="1"/>
  <c r="M28" i="1"/>
  <c r="P31" i="1" l="1"/>
  <c r="F31" i="1"/>
  <c r="N31" i="1"/>
  <c r="D31" i="1"/>
  <c r="D33" i="1" s="1"/>
  <c r="D34" i="1" s="1"/>
  <c r="D36" i="1" s="1"/>
  <c r="D38" i="1" s="1"/>
  <c r="M31" i="1"/>
  <c r="H31" i="1"/>
  <c r="O31" i="1"/>
  <c r="L31" i="1"/>
  <c r="K31" i="1"/>
  <c r="I31" i="1"/>
  <c r="E31" i="1"/>
  <c r="G31" i="1"/>
  <c r="Q31" i="1"/>
  <c r="J31" i="1"/>
  <c r="C52" i="1" l="1"/>
  <c r="D37" i="1"/>
  <c r="D32" i="1"/>
  <c r="E32" i="1" s="1"/>
  <c r="F32" i="1" s="1"/>
  <c r="E33" i="1" l="1"/>
  <c r="E34" i="1" s="1"/>
  <c r="E36" i="1" s="1"/>
  <c r="E38" i="1" s="1"/>
  <c r="F33" i="1"/>
  <c r="F34" i="1" s="1"/>
  <c r="F36" i="1" s="1"/>
  <c r="F38" i="1" s="1"/>
  <c r="G32" i="1"/>
  <c r="G33" i="1"/>
  <c r="G34" i="1" s="1"/>
  <c r="G43" i="1" s="1"/>
  <c r="G44" i="1" s="1"/>
  <c r="G45" i="1" s="1"/>
  <c r="F37" i="1" l="1"/>
  <c r="E37" i="1"/>
  <c r="G36" i="1"/>
  <c r="G38" i="1" s="1"/>
  <c r="H33" i="1"/>
  <c r="H34" i="1" s="1"/>
  <c r="H32" i="1"/>
  <c r="H43" i="1" l="1"/>
  <c r="H44" i="1" s="1"/>
  <c r="H45" i="1" s="1"/>
  <c r="H36" i="1"/>
  <c r="G37" i="1"/>
  <c r="I33" i="1"/>
  <c r="I34" i="1" s="1"/>
  <c r="I32" i="1"/>
  <c r="J33" i="1" l="1"/>
  <c r="J34" i="1" s="1"/>
  <c r="J32" i="1"/>
  <c r="I36" i="1"/>
  <c r="I43" i="1"/>
  <c r="I44" i="1" s="1"/>
  <c r="I45" i="1" s="1"/>
  <c r="H38" i="1"/>
  <c r="H37" i="1"/>
  <c r="K33" i="1" l="1"/>
  <c r="K34" i="1" s="1"/>
  <c r="K32" i="1"/>
  <c r="I37" i="1"/>
  <c r="I38" i="1"/>
  <c r="J43" i="1"/>
  <c r="J44" i="1" s="1"/>
  <c r="J45" i="1" s="1"/>
  <c r="J36" i="1"/>
  <c r="J38" i="1" l="1"/>
  <c r="J37" i="1"/>
  <c r="L33" i="1"/>
  <c r="L34" i="1" s="1"/>
  <c r="L32" i="1"/>
  <c r="K43" i="1"/>
  <c r="K44" i="1" s="1"/>
  <c r="K45" i="1" s="1"/>
  <c r="K36" i="1"/>
  <c r="L43" i="1" l="1"/>
  <c r="L44" i="1" s="1"/>
  <c r="L45" i="1" s="1"/>
  <c r="L36" i="1"/>
  <c r="K38" i="1"/>
  <c r="K37" i="1"/>
  <c r="M33" i="1"/>
  <c r="M34" i="1" s="1"/>
  <c r="M32" i="1"/>
  <c r="L37" i="1" l="1"/>
  <c r="L38" i="1"/>
  <c r="N33" i="1"/>
  <c r="N34" i="1" s="1"/>
  <c r="N32" i="1"/>
  <c r="M36" i="1"/>
  <c r="M43" i="1"/>
  <c r="M44" i="1" s="1"/>
  <c r="M45" i="1" s="1"/>
  <c r="O33" i="1" l="1"/>
  <c r="O34" i="1" s="1"/>
  <c r="O32" i="1"/>
  <c r="N36" i="1"/>
  <c r="N43" i="1"/>
  <c r="N44" i="1" s="1"/>
  <c r="N45" i="1" s="1"/>
  <c r="M37" i="1"/>
  <c r="M38" i="1"/>
  <c r="N37" i="1" l="1"/>
  <c r="N38" i="1"/>
  <c r="P33" i="1"/>
  <c r="P34" i="1" s="1"/>
  <c r="P32" i="1"/>
  <c r="O36" i="1"/>
  <c r="O43" i="1"/>
  <c r="O44" i="1" s="1"/>
  <c r="O45" i="1" s="1"/>
  <c r="Q33" i="1" l="1"/>
  <c r="Q34" i="1" s="1"/>
  <c r="Q32" i="1"/>
  <c r="P36" i="1"/>
  <c r="P43" i="1"/>
  <c r="P44" i="1" s="1"/>
  <c r="P45" i="1" s="1"/>
  <c r="O38" i="1"/>
  <c r="O37" i="1"/>
  <c r="R33" i="1" l="1"/>
  <c r="R34" i="1" s="1"/>
  <c r="R32" i="1"/>
  <c r="P38" i="1"/>
  <c r="P37" i="1"/>
  <c r="Q36" i="1"/>
  <c r="Q43" i="1"/>
  <c r="Q44" i="1" s="1"/>
  <c r="Q45" i="1" s="1"/>
  <c r="S33" i="1" l="1"/>
  <c r="S34" i="1" s="1"/>
  <c r="S32" i="1"/>
  <c r="Q38" i="1"/>
  <c r="Q37" i="1"/>
  <c r="R36" i="1"/>
  <c r="R43" i="1"/>
  <c r="R44" i="1" s="1"/>
  <c r="R45" i="1" s="1"/>
  <c r="T33" i="1" l="1"/>
  <c r="T34" i="1" s="1"/>
  <c r="T32" i="1"/>
  <c r="R37" i="1"/>
  <c r="R38" i="1"/>
  <c r="S36" i="1"/>
  <c r="S43" i="1"/>
  <c r="S44" i="1" s="1"/>
  <c r="S45" i="1" s="1"/>
  <c r="U33" i="1" l="1"/>
  <c r="U34" i="1" s="1"/>
  <c r="U32" i="1"/>
  <c r="S37" i="1"/>
  <c r="S38" i="1"/>
  <c r="T43" i="1"/>
  <c r="T44" i="1" s="1"/>
  <c r="T45" i="1" s="1"/>
  <c r="T36" i="1"/>
  <c r="T37" i="1" l="1"/>
  <c r="T38" i="1"/>
  <c r="V33" i="1"/>
  <c r="V34" i="1" s="1"/>
  <c r="V32" i="1"/>
  <c r="U43" i="1"/>
  <c r="U44" i="1" s="1"/>
  <c r="U45" i="1" s="1"/>
  <c r="U36" i="1"/>
  <c r="W33" i="1" l="1"/>
  <c r="W34" i="1" s="1"/>
  <c r="W32" i="1"/>
  <c r="V43" i="1"/>
  <c r="V44" i="1" s="1"/>
  <c r="V45" i="1" s="1"/>
  <c r="V36" i="1"/>
  <c r="U38" i="1"/>
  <c r="U37" i="1"/>
  <c r="V37" i="1" l="1"/>
  <c r="V38" i="1"/>
  <c r="W43" i="1"/>
  <c r="W44" i="1" s="1"/>
  <c r="W45" i="1" s="1"/>
  <c r="C55" i="1" s="1"/>
  <c r="W36" i="1"/>
  <c r="C54" i="1"/>
  <c r="F39" i="1" l="1"/>
  <c r="J39" i="1"/>
  <c r="N39" i="1"/>
  <c r="R39" i="1"/>
  <c r="S39" i="1"/>
  <c r="D39" i="1"/>
  <c r="D40" i="1" s="1"/>
  <c r="H39" i="1"/>
  <c r="P39" i="1"/>
  <c r="M39" i="1"/>
  <c r="G39" i="1"/>
  <c r="K39" i="1"/>
  <c r="O39" i="1"/>
  <c r="L39" i="1"/>
  <c r="E39" i="1"/>
  <c r="U39" i="1"/>
  <c r="T39" i="1"/>
  <c r="I39" i="1"/>
  <c r="Q39" i="1"/>
  <c r="V39" i="1"/>
  <c r="W38" i="1"/>
  <c r="W37" i="1"/>
  <c r="C53" i="1" s="1"/>
  <c r="D53" i="1" s="1"/>
  <c r="W39" i="1"/>
  <c r="E40" i="1" l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C51" i="1" s="1"/>
  <c r="D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npoize</author>
    <author>utilisateur</author>
  </authors>
  <commentList>
    <comment ref="I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Supérieur à 57,5% en SCIC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calculé via la méthode du coût moyen pondéré du capital</t>
        </r>
      </text>
    </comment>
    <comment ref="I1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 demander à la commune où siège la société locale
De l'ordre de 300 à 500€</t>
        </r>
      </text>
    </comment>
    <comment ref="D22" authorId="0" shapeId="0" xr:uid="{00000000-0006-0000-0000-000004000000}">
      <text>
        <r>
          <rPr>
            <sz val="9"/>
            <color indexed="81"/>
            <rFont val="Tahoma"/>
            <family val="2"/>
          </rPr>
          <t>charges exceptionnelles 1e année</t>
        </r>
      </text>
    </comment>
    <comment ref="N2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Charges exceptionnelles de 11e année</t>
        </r>
      </text>
    </comment>
    <comment ref="A5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Calculée sur tous les flux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Calculs sur tous les flux sans les intérêts financiers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<sst xmlns="http://schemas.openxmlformats.org/spreadsheetml/2006/main" count="274" uniqueCount="236">
  <si>
    <t>Structuration du financement</t>
  </si>
  <si>
    <t>Charges</t>
  </si>
  <si>
    <t>Soldes intermédiaires de gestion</t>
  </si>
  <si>
    <t>Taux d'indexation du tarif d'achat</t>
  </si>
  <si>
    <t>Inflation</t>
  </si>
  <si>
    <t>Valeur ajoutée</t>
  </si>
  <si>
    <t>Excédent Brut d'Exploitation</t>
  </si>
  <si>
    <t>Dotations aux amortissements</t>
  </si>
  <si>
    <t>Provisions</t>
  </si>
  <si>
    <t>Résultat d'Exploitation</t>
  </si>
  <si>
    <t>Résultat courant avant impôt</t>
  </si>
  <si>
    <t>Résultat Net Comptable</t>
  </si>
  <si>
    <t>Durée (ans)</t>
  </si>
  <si>
    <t>Frais financiers (remb. annuité constante)</t>
  </si>
  <si>
    <t>Taux d'actualisation</t>
  </si>
  <si>
    <t>Cash Flow Actualisés</t>
  </si>
  <si>
    <t>VAN</t>
  </si>
  <si>
    <t>Indicateurs de rentabilité</t>
  </si>
  <si>
    <t>Valeur Actuelle Nette sur 20 ans</t>
  </si>
  <si>
    <t>TRI du Projet</t>
  </si>
  <si>
    <t>Rentabilité financière (Résultat Net / Fonds propres)</t>
  </si>
  <si>
    <t>Cash Flow - investissement (pour le TRI)</t>
  </si>
  <si>
    <t>Rémunération des fonds propres</t>
  </si>
  <si>
    <t>Surface photovoltaïque (m2)</t>
  </si>
  <si>
    <t>Puissance photovoltaïque (kW)</t>
  </si>
  <si>
    <t>Recettes (€/an)</t>
  </si>
  <si>
    <t>Production annuelle (kWh/an)</t>
  </si>
  <si>
    <t xml:space="preserve">Description du projet PV </t>
  </si>
  <si>
    <t>Coût investissement (€)</t>
  </si>
  <si>
    <t>Charges (€/an)</t>
  </si>
  <si>
    <t>Emprunt bancaire (€)</t>
  </si>
  <si>
    <t xml:space="preserve">Ventes d'électicité </t>
  </si>
  <si>
    <t>Capacité d'Autofinancement</t>
  </si>
  <si>
    <t>Mise en réserves</t>
  </si>
  <si>
    <t>Taux CSG</t>
  </si>
  <si>
    <t>Taux de couverture de la dette</t>
  </si>
  <si>
    <t>TURPE</t>
  </si>
  <si>
    <t>TOTAL</t>
  </si>
  <si>
    <t>Charges exceptionnelles 1ère année</t>
  </si>
  <si>
    <t>IMMATRICULATION</t>
  </si>
  <si>
    <t>Réserves cumulées</t>
  </si>
  <si>
    <t>Rémunération des fonds propres sur 20 ans</t>
  </si>
  <si>
    <t>Taux perte de production/an</t>
  </si>
  <si>
    <t>Mise en réserve années 1 à 3</t>
  </si>
  <si>
    <t>Mise en réserve de 4 à 20 ans</t>
  </si>
  <si>
    <t>Taux emprunt</t>
  </si>
  <si>
    <t>Taux de disponibilité centrale</t>
  </si>
  <si>
    <t>Déficit reportable</t>
  </si>
  <si>
    <t>Dividendes bruts distribuables</t>
  </si>
  <si>
    <t>Dividendes nets distribuables</t>
  </si>
  <si>
    <t>RENOUV MONITORING</t>
  </si>
  <si>
    <t>ANNEE 1</t>
  </si>
  <si>
    <t>ANNEE 11</t>
  </si>
  <si>
    <t>RACCO € HT</t>
  </si>
  <si>
    <t>TRAVAUX</t>
  </si>
  <si>
    <t>TRANCHEES</t>
  </si>
  <si>
    <t>COFFRETS</t>
  </si>
  <si>
    <t>MONITORING</t>
  </si>
  <si>
    <t>SURFACE (M2)</t>
  </si>
  <si>
    <t>MAINTENANCE</t>
  </si>
  <si>
    <t>ASSURANCES</t>
  </si>
  <si>
    <t>LOYERS</t>
  </si>
  <si>
    <t>Charges exceptionnelles 11ème année</t>
  </si>
  <si>
    <t>Intérêts CCA</t>
  </si>
  <si>
    <t>Bureau de contrôle</t>
  </si>
  <si>
    <t>Comptable</t>
  </si>
  <si>
    <t>INSTALL 5</t>
  </si>
  <si>
    <t>INSTALL 6</t>
  </si>
  <si>
    <t>INSTALL 7</t>
  </si>
  <si>
    <t>INSTALL 8</t>
  </si>
  <si>
    <t>INSTALL 9</t>
  </si>
  <si>
    <t>Modèle statutaire</t>
  </si>
  <si>
    <t>SAS</t>
  </si>
  <si>
    <t>SCIC / SAS</t>
  </si>
  <si>
    <t>Impôts</t>
  </si>
  <si>
    <t>sans plan de trésorerie</t>
  </si>
  <si>
    <t>INSTALL 10</t>
  </si>
  <si>
    <t>Comptes-courants d'associés</t>
  </si>
  <si>
    <t>INSTALL 11</t>
  </si>
  <si>
    <t>INSTALL 12</t>
  </si>
  <si>
    <t>INSTALL 13</t>
  </si>
  <si>
    <t>INSTALL 14</t>
  </si>
  <si>
    <t>INSTALL 15</t>
  </si>
  <si>
    <t>INSTALL 16</t>
  </si>
  <si>
    <t>Cases en gris calculées</t>
  </si>
  <si>
    <t>Hypothèses</t>
  </si>
  <si>
    <t>Nombre de parts</t>
  </si>
  <si>
    <t>Montant de la part</t>
  </si>
  <si>
    <t>Cases en jaune à remplir ou modifier</t>
  </si>
  <si>
    <t>Taxe CFE €/an</t>
  </si>
  <si>
    <t>Nom installation</t>
  </si>
  <si>
    <t xml:space="preserve">PV </t>
  </si>
  <si>
    <t>INVESTISSEMENTS (€/HT)</t>
  </si>
  <si>
    <t>DETAIL DES CHARGES ANNUELLES (€ HT/ AN)</t>
  </si>
  <si>
    <t>Ratio € HT/Wc</t>
  </si>
  <si>
    <t>FRAIS BANCAIRES</t>
  </si>
  <si>
    <t>AIDE AU CHIFFRAGE</t>
  </si>
  <si>
    <t>Travaux annexes pris en charge par la société locale (renforcement charpente, déplacement velux, etc.)</t>
  </si>
  <si>
    <t>Estimation sur devis</t>
  </si>
  <si>
    <t>Sur devis en fonction de la distance à chiffrer</t>
  </si>
  <si>
    <t>Servent de protection / habillage pour les onduleurs situés en extérieur (facultatif)</t>
  </si>
  <si>
    <t>Sur devis installateur</t>
  </si>
  <si>
    <t>Extension garantie onduleurs</t>
  </si>
  <si>
    <t>Facultatif - Permet de remplacer automatiquement un onduleur défectueux pendant 10 ans ou 20 ans</t>
  </si>
  <si>
    <t>Maintenance</t>
  </si>
  <si>
    <t>Assurances</t>
  </si>
  <si>
    <t>Loyers</t>
  </si>
  <si>
    <t>Tenue compte</t>
  </si>
  <si>
    <t>Divers</t>
  </si>
  <si>
    <t>Prévoir une visite annuelle complète</t>
  </si>
  <si>
    <t>Taxe annuelle pour l'utilisation du réseau public d'électricité.</t>
  </si>
  <si>
    <t>Selon banque dans laquelle le compte de la société est ouvert</t>
  </si>
  <si>
    <r>
      <t>Surface 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</si>
  <si>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INSTALL 17</t>
  </si>
  <si>
    <t>INSTALL 18</t>
  </si>
  <si>
    <t>INSTALL 19</t>
  </si>
  <si>
    <t>INSTALL 20</t>
  </si>
  <si>
    <t>Puissance kWc</t>
  </si>
  <si>
    <t>RACCORDEMENT</t>
  </si>
  <si>
    <t>Location des toitures publiques et privées - Peut être négocié avec les propriétaires</t>
  </si>
  <si>
    <t>Frais d'immatrioculation de lasociété locale (environ 400€)</t>
  </si>
  <si>
    <t>Frais associés au prêt bancaire</t>
  </si>
  <si>
    <t>non</t>
  </si>
  <si>
    <t>oui</t>
  </si>
  <si>
    <t>TOTAL SUR LA SELECTION</t>
  </si>
  <si>
    <t>Taux (%)</t>
  </si>
  <si>
    <t>Production kWh/an</t>
  </si>
  <si>
    <t>Capital apporté</t>
  </si>
  <si>
    <t>Cash flow - TRI sur fonds propres</t>
  </si>
  <si>
    <t xml:space="preserve">SYSTÈME PV </t>
  </si>
  <si>
    <t>AIDE A LA SAISIE</t>
  </si>
  <si>
    <t xml:space="preserve">Système PV = panneaux + système d'intégration + onduleur + câbles + boitiers </t>
  </si>
  <si>
    <t>Très variable selon les contraintes du réseau - Montant exact donné dans la Proposition De Raccordement (PDR) de ENEDIS</t>
  </si>
  <si>
    <t>Coûts très variables selon les toitures, les sysèmes d'intégration, les surfaces, etc. - Voir statistiques des précédents projets</t>
  </si>
  <si>
    <t>Tranchées en zone privée entre onduleur et coffrets ENEDIS en limite de propriété</t>
  </si>
  <si>
    <t xml:space="preserve">Pour les ERP uniquement </t>
  </si>
  <si>
    <t>remplir uniquement les cases en jaune</t>
  </si>
  <si>
    <t>Périmètre sélectionné</t>
  </si>
  <si>
    <t>CHARGES EXCEPTIONNELLES (€ HT)</t>
  </si>
  <si>
    <t>RENOUV ONDULEURS</t>
  </si>
  <si>
    <t>ANNEES 11 A 15</t>
  </si>
  <si>
    <t>Charges exceptionnelles années 11 à 15</t>
  </si>
  <si>
    <t>Subvention</t>
  </si>
  <si>
    <t>Part fonds propres</t>
  </si>
  <si>
    <t>Coût système PV €/Wc</t>
  </si>
  <si>
    <t>Pour un branchement sec, sans renforcement de réseau, compter autour de 2000 €HT (si &gt;36 kVA)</t>
  </si>
  <si>
    <t>De l'ordre de 1000 à 1500€</t>
  </si>
  <si>
    <t>Selon barème MAIF :</t>
  </si>
  <si>
    <t>Soit comptable local soit comptable proposé par l'Association</t>
  </si>
  <si>
    <t>Prévoir une marge minimum de 500 € / an environ (sur l'ensemble de la tranche)</t>
  </si>
  <si>
    <t>Installation 9 kWc : environ 75 €/ an</t>
  </si>
  <si>
    <t>IFER</t>
  </si>
  <si>
    <t>VISITE PERIODIQUE ERP</t>
  </si>
  <si>
    <t>COMPTABILITE</t>
  </si>
  <si>
    <t>DIVERS</t>
  </si>
  <si>
    <t>TENUE COMPTE</t>
  </si>
  <si>
    <t>DEPOT COMPTES AU GREFFE</t>
  </si>
  <si>
    <t>CHARGES DE SOCIETE</t>
  </si>
  <si>
    <t>Dépôt comptes au Greffe</t>
  </si>
  <si>
    <t>45€ par an selon https://www.infogreffe.fr/formalites-entreprise/depot-des-comptes.html</t>
  </si>
  <si>
    <t>Monitoring</t>
  </si>
  <si>
    <t>Selon la solution technique choisie datalogger + plateforme indépendante, boitier RBEE solar, ou solution onduleur…)</t>
  </si>
  <si>
    <t>Coût variable entre 0 et 100€ / an par installation. Prévoir routeur ou carte SIM en sus si besoin d'internet</t>
  </si>
  <si>
    <t>Visite périodique ERP</t>
  </si>
  <si>
    <t>Compliqué à estimer car très différent selon les ERP (la fréquence des visite peut être annuelle ou beaucoup moins fréquente)</t>
  </si>
  <si>
    <t>Cout de la vérification estimé entre 50 € (si réalisé en parallèle de la visite du bâtiment) et 300€ (si réalisé indépendamment)</t>
  </si>
  <si>
    <t>Renouvellement des onduleurs défaillants sur les années 11, 12, 13, 14, 15 - Compter 70% du coût initial</t>
  </si>
  <si>
    <t>BUREAU DE CONTRÔLE ERP</t>
  </si>
  <si>
    <t>EXTENSION ONDULEURS 20 ANS</t>
  </si>
  <si>
    <t>FRAIS DE NOTAIRES</t>
  </si>
  <si>
    <t>AUTRE  (Etudes, AMO, etc)</t>
  </si>
  <si>
    <t>Datalogger : environ 600€</t>
  </si>
  <si>
    <t>Frais de notaire</t>
  </si>
  <si>
    <t>Pour les bâtiments privés uniquement (COT sans notaire pour bâtiments publics)</t>
  </si>
  <si>
    <t>Renouvellement des boitiers de monitoring au bout de 11 ans : prévoir 70% du coût initial par installation</t>
  </si>
  <si>
    <t>Sur devis installateur et selon les tailles d'installations. Prévoir 300€ / an pour un 36kWc, 500€ / an pour un 100kWc</t>
  </si>
  <si>
    <t>Entre 300 et 1000€ selon taille et matériaux</t>
  </si>
  <si>
    <t>Taxes (CFE, IFER)</t>
  </si>
  <si>
    <t>Selon barème du TURPE : 33,6€ HT si puissance &lt; 36 kVA, 447,78€/HT entre 36 et 250 kVA et 737,76€HT au-delà de 250 kVA</t>
  </si>
  <si>
    <t>Obj. Rémuné-ration FP</t>
  </si>
  <si>
    <t>Tarif d'achat du surplus réseau c€/kWh</t>
  </si>
  <si>
    <t>Part injectée sur le réseau (kWh)</t>
  </si>
  <si>
    <t>Indexation tarif 3 %/an</t>
  </si>
  <si>
    <t>Commentaires d'aide à la saisie</t>
  </si>
  <si>
    <t xml:space="preserve">Dans ce tableur la société Centrales Villageoises peut simuler la vente d'énergie par plusieurs installations de production lui appartenant (jusqu'à 20) dans une boucle d'autoconsommation collective locale.  </t>
  </si>
  <si>
    <t>On a limité à 3 le nombre de tarifs différents possibles. Autrement dit, s'il y a 50 consommateurs, on ne peut pas considérer 50 tarifs différents, mais jusqu'à 3 tarifs, qui peuvent s'appliquer par exemple à 3 catégories de consommateurs.</t>
  </si>
  <si>
    <t>Recettes vente surplus au réseau</t>
  </si>
  <si>
    <t>Recettes totales €HT</t>
  </si>
  <si>
    <t>Recettes vente locale aux consomateurs €HT/an</t>
  </si>
  <si>
    <t>Le tarif du surplus injecté sur le réseau est soit le tarif de l'obligation d'achat en vente totale (si la société CV fait appel au S21) soit un tarif de gré à gré si la société CV traite avec un acheteur en dehors de l'arrêté S21</t>
  </si>
  <si>
    <t>Part autoconsommée par les consommateurs éligibles au [TARIF 1] (kWh)</t>
  </si>
  <si>
    <t>Part autoconsommée par les consommateurs éligibles au [TARIF 2] (kWh)</t>
  </si>
  <si>
    <t>Indexation [TARIF 2] %/an</t>
  </si>
  <si>
    <t>Part autoconsommée par les consommateurs éligibles au [TARIF 3] (kWh)</t>
  </si>
  <si>
    <t>Indexation [TARIF 1] %/an</t>
  </si>
  <si>
    <t>[TARIF 1] solaire c€ HT/kWh</t>
  </si>
  <si>
    <t>[TARIF 2] solaire c€ HT/kWh</t>
  </si>
  <si>
    <t>[TARIF 3] solaire c€ HT/kWh</t>
  </si>
  <si>
    <t>Enfin la société CV étant producteur et en charge de la facturation, elle propose nécessairement un seul tarif par consommateur. S'il y a plusieurs installations PV, on considère donc que celles-ci vendent au même prix pour un consommateur donné.</t>
  </si>
  <si>
    <t>Charges GESTION ACC</t>
  </si>
  <si>
    <t>Business plan simplifié pour projet ACC - exemple</t>
  </si>
  <si>
    <t>Charges Gestion ACC</t>
  </si>
  <si>
    <t>Correspond à la sous-traitance du travail de gestion de l'opération (traitement des données ENEDIS, facturation…)</t>
  </si>
  <si>
    <t>Version</t>
  </si>
  <si>
    <t>&gt;&gt;</t>
  </si>
  <si>
    <t>Cet outil est le 1er des trois outils qui ont été développés pour simuler les projets d'autoconsommation collective</t>
  </si>
  <si>
    <t>Calcul des taux d'autoproduction et d'autoconsommation du projet</t>
  </si>
  <si>
    <t>2. Outil Eval_impact_factures_ACC.xls</t>
  </si>
  <si>
    <t>3. Outil DEV_FIN_05B_SIMU_DVP_ACC.xls</t>
  </si>
  <si>
    <t>Calcul de l'impact du projet ACC sur les factures de chaque consommateur</t>
  </si>
  <si>
    <t>Calcul de la viabilité économique du projet PV en ACC pour la société Centrales Villageoises</t>
  </si>
  <si>
    <t>Quels sont les onglets à remplir?</t>
  </si>
  <si>
    <t>VIABILITE ECONOMIQUE DES INSTALLATIONS PV DANS  LE CADRE D'UN PROJET D'AUTOCONSOMMATION COLLECTIVE</t>
  </si>
  <si>
    <t>&gt;&gt; Il faut saisir dans DECAISSEMENTS les hypothèses de coûts en matière d'investissement et de charges.</t>
  </si>
  <si>
    <t>&gt;&gt; Il faut saisir dans ENCAISSEMENTS les hypothèses en matière de recettes issues de la vente d'énergie. Il est possible de définir 3 tarifs de vente différents correspondant à 3 catégories de consommateurs (acheteurs) distincts. Il est aussi possible d'indexer de façon indépendante ces 3 tarifs.</t>
  </si>
  <si>
    <t>DECAISSEMENTS (INVESTISSEMENTS ET CHARGES) ASSOCIES AUX INSTALLATIONS PV DE L'OPERATION ACC</t>
  </si>
  <si>
    <t>ENCAISSEMENTS ANNUELS (RECETTES ISSUES DE LA VENTE D'ENERGIE)</t>
  </si>
  <si>
    <t>Productible</t>
  </si>
  <si>
    <t>Les tarifs indiqués pour la vente de l'énergie solaire sont les tarifs de fourniture (hors TURPE et taxes qui sont ensuite appliqués sur la fcature des consommateurs).</t>
  </si>
  <si>
    <t>Environ 1500 €HT / an</t>
  </si>
  <si>
    <t>Prévoir environ 450€ / an pour une 36 kWc et 600€ / an pour une 100kWc</t>
  </si>
  <si>
    <t>De l'ordre de 800 € à 1500€</t>
  </si>
  <si>
    <t>INSTALL 1</t>
  </si>
  <si>
    <t>INSTALL 2</t>
  </si>
  <si>
    <t>INSTALL 3</t>
  </si>
  <si>
    <t>INSTALL 4</t>
  </si>
  <si>
    <t>La part autoconsommée à saisir correspond à la somme des autoconsommations pour le groupe d'autoconosmmateurs de la même catégorie de tarif, à laquelle on applique un prorata de la puissance de l'installation PV concernée (par rapport à la somme des puissances de production). Exemple : en case G11, on saisit le cumul des parts autoconsommées par tous les consommateurs éligibles au TARIF 1 (à partir des fichiers Agrégation CDC ou Impact factures) et on applique le ratio D11/D31.</t>
  </si>
  <si>
    <t>1. Outil agrégation courbes de charge</t>
  </si>
  <si>
    <t>Cet outil est destiné à la seule utilisation des collectifs du réseau Centrales Villageoises et ne doit pas faire l'objet d'une activité commerciale. 
Il a été développé par l'Association des Centrales Villageoises dans le but de guider les porteurs de projets dans leur projet d'autoconsommation collective.
Les résultats sont donnés à titre indicatifs et n'engagent en rien l'Association. 
Toute proposition d'amélioration ou de correctif est la bienvenue à l'adresse association@centralesvillageoises.fr</t>
  </si>
  <si>
    <t>Pas de frais spécifique si solution onduleur retenue</t>
  </si>
  <si>
    <t>Environ 250 €/ an en général</t>
  </si>
  <si>
    <t>Installation 36kkWc : environ 250 €/ an</t>
  </si>
  <si>
    <t>Installation 100kkWc : environ 600 €/ an</t>
  </si>
  <si>
    <t>Généralement entre 0,5€ et 2 € / m2 de PV / an</t>
  </si>
  <si>
    <t>3,206€ / kWc installé</t>
  </si>
  <si>
    <t>Ne concerne que les installations d'une puissance supérieure ou égale à 100 kVA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</si>
</sst>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  <numFmt numFmtId="167" formatCode="#,##0.0\ _€"/>
    <numFmt numFmtId="168" formatCode="#,##0_ ;\-#,##0\ "/>
    <numFmt numFmtId="169" formatCode="#,##0\ &quot;€&quot;"/>
    <numFmt numFmtId="170" formatCode="0.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b/>
      <i/>
      <sz val="11"/>
      <color theme="8" tint="-0.249977111117893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9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u/>
      <sz val="16"/>
      <color theme="9" tint="-0.249977111117893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i/>
      <sz val="10"/>
      <color theme="9" tint="-0.249977111117893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0">
    <xf numFmtId="0" fontId="0" fillId="0" borderId="0"/>
    <xf numFmtId="9" fontId="1" fillId="0" borderId="0" applyFont="0" applyFill="0" applyBorder="0" applyAlignment="0" applyProtection="0"/>
    <xf numFmtId="0" fontId="10" fillId="0" borderId="0"/>
    <xf numFmtId="4" fontId="11" fillId="3" borderId="4" applyNumberFormat="0" applyFont="0" applyBorder="0" applyAlignment="0">
      <alignment horizontal="center"/>
      <protection locked="0"/>
    </xf>
    <xf numFmtId="44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4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4" fillId="0" borderId="0"/>
    <xf numFmtId="0" fontId="34" fillId="0" borderId="0" applyNumberFormat="0" applyFill="0" applyBorder="0" applyAlignment="0" applyProtection="0"/>
    <xf numFmtId="0" fontId="1" fillId="0" borderId="0"/>
  </cellStyleXfs>
  <cellXfs count="235">
    <xf numFmtId="0" fontId="0" fillId="0" borderId="0" xfId="0"/>
    <xf numFmtId="0" fontId="2" fillId="0" borderId="1" xfId="0" applyFont="1" applyBorder="1"/>
    <xf numFmtId="0" fontId="0" fillId="0" borderId="0" xfId="0" applyAlignment="1">
      <alignment wrapText="1"/>
    </xf>
    <xf numFmtId="0" fontId="12" fillId="0" borderId="8" xfId="2" applyFont="1" applyBorder="1" applyAlignment="1">
      <alignment wrapText="1"/>
    </xf>
    <xf numFmtId="0" fontId="14" fillId="4" borderId="5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1" fontId="14" fillId="4" borderId="7" xfId="2" applyNumberFormat="1" applyFont="1" applyFill="1" applyBorder="1" applyAlignment="1">
      <alignment horizontal="center" vertical="center" wrapText="1"/>
    </xf>
    <xf numFmtId="0" fontId="14" fillId="4" borderId="6" xfId="2" applyFont="1" applyFill="1" applyBorder="1" applyAlignment="1">
      <alignment horizontal="center" vertical="center" wrapText="1"/>
    </xf>
    <xf numFmtId="0" fontId="11" fillId="0" borderId="0" xfId="2" applyFont="1" applyAlignment="1">
      <alignment wrapText="1"/>
    </xf>
    <xf numFmtId="0" fontId="13" fillId="0" borderId="0" xfId="2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2" fillId="8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0" xfId="0" applyFont="1"/>
    <xf numFmtId="0" fontId="7" fillId="0" borderId="0" xfId="0" applyFont="1" applyAlignment="1">
      <alignment horizontal="right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1" fontId="0" fillId="10" borderId="1" xfId="0" applyNumberFormat="1" applyFill="1" applyBorder="1" applyAlignment="1">
      <alignment horizontal="center"/>
    </xf>
    <xf numFmtId="1" fontId="2" fillId="10" borderId="1" xfId="19" applyNumberFormat="1" applyFont="1" applyFill="1" applyBorder="1" applyAlignment="1">
      <alignment horizontal="center"/>
    </xf>
    <xf numFmtId="0" fontId="22" fillId="10" borderId="1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/>
    </xf>
    <xf numFmtId="0" fontId="2" fillId="6" borderId="1" xfId="0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7" fillId="6" borderId="1" xfId="0" applyFont="1" applyFill="1" applyBorder="1" applyAlignment="1" applyProtection="1">
      <alignment horizontal="center"/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167" fontId="0" fillId="6" borderId="1" xfId="0" applyNumberFormat="1" applyFill="1" applyBorder="1" applyAlignment="1" applyProtection="1">
      <alignment horizontal="center" vertical="center"/>
      <protection locked="0"/>
    </xf>
    <xf numFmtId="0" fontId="21" fillId="6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0" fillId="12" borderId="0" xfId="0" applyFill="1" applyAlignment="1">
      <alignment wrapText="1"/>
    </xf>
    <xf numFmtId="0" fontId="25" fillId="12" borderId="0" xfId="0" applyFont="1" applyFill="1" applyAlignment="1">
      <alignment horizontal="center"/>
    </xf>
    <xf numFmtId="0" fontId="0" fillId="5" borderId="0" xfId="0" applyFill="1" applyAlignment="1">
      <alignment wrapText="1"/>
    </xf>
    <xf numFmtId="0" fontId="0" fillId="6" borderId="1" xfId="0" applyFill="1" applyBorder="1" applyAlignment="1">
      <alignment wrapText="1"/>
    </xf>
    <xf numFmtId="0" fontId="0" fillId="5" borderId="0" xfId="0" applyFill="1"/>
    <xf numFmtId="0" fontId="25" fillId="10" borderId="1" xfId="0" applyFont="1" applyFill="1" applyBorder="1"/>
    <xf numFmtId="0" fontId="0" fillId="5" borderId="0" xfId="0" applyFill="1" applyAlignment="1">
      <alignment horizontal="left"/>
    </xf>
    <xf numFmtId="0" fontId="25" fillId="0" borderId="0" xfId="0" applyFont="1"/>
    <xf numFmtId="0" fontId="0" fillId="0" borderId="0" xfId="0" applyAlignment="1">
      <alignment horizontal="center" wrapText="1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5" fillId="2" borderId="0" xfId="0" applyFont="1" applyFill="1"/>
    <xf numFmtId="0" fontId="4" fillId="0" borderId="0" xfId="0" applyFont="1" applyAlignment="1">
      <alignment wrapText="1"/>
    </xf>
    <xf numFmtId="1" fontId="0" fillId="10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9" fontId="0" fillId="10" borderId="1" xfId="0" applyNumberFormat="1" applyFill="1" applyBorder="1" applyAlignment="1">
      <alignment horizontal="center" vertical="center" wrapText="1"/>
    </xf>
    <xf numFmtId="9" fontId="0" fillId="0" borderId="0" xfId="1" applyFont="1" applyAlignment="1" applyProtection="1">
      <alignment horizontal="center" wrapText="1"/>
    </xf>
    <xf numFmtId="0" fontId="0" fillId="10" borderId="1" xfId="0" applyFill="1" applyBorder="1" applyAlignment="1">
      <alignment horizontal="center" wrapText="1"/>
    </xf>
    <xf numFmtId="1" fontId="0" fillId="10" borderId="1" xfId="0" applyNumberFormat="1" applyFill="1" applyBorder="1" applyAlignment="1">
      <alignment horizontal="center" wrapText="1"/>
    </xf>
    <xf numFmtId="169" fontId="0" fillId="10" borderId="1" xfId="0" applyNumberFormat="1" applyFill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" fontId="28" fillId="8" borderId="1" xfId="0" applyNumberFormat="1" applyFont="1" applyFill="1" applyBorder="1" applyAlignment="1">
      <alignment horizontal="center" wrapText="1"/>
    </xf>
    <xf numFmtId="0" fontId="29" fillId="0" borderId="0" xfId="0" applyFont="1" applyAlignment="1">
      <alignment wrapText="1"/>
    </xf>
    <xf numFmtId="0" fontId="15" fillId="0" borderId="9" xfId="0" applyFont="1" applyBorder="1" applyAlignment="1">
      <alignment horizontal="left" wrapText="1"/>
    </xf>
    <xf numFmtId="1" fontId="16" fillId="0" borderId="9" xfId="0" applyNumberFormat="1" applyFont="1" applyBorder="1" applyAlignment="1">
      <alignment horizontal="center" wrapText="1"/>
    </xf>
    <xf numFmtId="0" fontId="17" fillId="0" borderId="0" xfId="0" applyFont="1" applyAlignment="1">
      <alignment wrapText="1"/>
    </xf>
    <xf numFmtId="9" fontId="0" fillId="0" borderId="1" xfId="1" applyFont="1" applyBorder="1" applyAlignment="1" applyProtection="1">
      <alignment horizontal="center" wrapText="1"/>
    </xf>
    <xf numFmtId="1" fontId="0" fillId="0" borderId="0" xfId="0" applyNumberFormat="1" applyAlignment="1">
      <alignment wrapText="1"/>
    </xf>
    <xf numFmtId="8" fontId="0" fillId="0" borderId="0" xfId="0" applyNumberFormat="1" applyAlignment="1">
      <alignment wrapText="1"/>
    </xf>
    <xf numFmtId="10" fontId="0" fillId="10" borderId="1" xfId="0" applyNumberFormat="1" applyFill="1" applyBorder="1" applyAlignment="1">
      <alignment horizontal="center" wrapText="1"/>
    </xf>
    <xf numFmtId="10" fontId="0" fillId="1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6" fontId="0" fillId="0" borderId="0" xfId="0" applyNumberFormat="1" applyAlignment="1">
      <alignment wrapText="1"/>
    </xf>
    <xf numFmtId="0" fontId="0" fillId="6" borderId="1" xfId="0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169" fontId="0" fillId="6" borderId="1" xfId="0" applyNumberFormat="1" applyFill="1" applyBorder="1" applyAlignment="1" applyProtection="1">
      <alignment wrapText="1"/>
      <protection locked="0"/>
    </xf>
    <xf numFmtId="10" fontId="0" fillId="6" borderId="1" xfId="0" applyNumberFormat="1" applyFill="1" applyBorder="1" applyAlignment="1" applyProtection="1">
      <alignment wrapText="1"/>
      <protection locked="0"/>
    </xf>
    <xf numFmtId="10" fontId="0" fillId="6" borderId="1" xfId="0" applyNumberFormat="1" applyFill="1" applyBorder="1" applyAlignment="1" applyProtection="1">
      <alignment horizontal="center" wrapText="1"/>
      <protection locked="0"/>
    </xf>
    <xf numFmtId="169" fontId="0" fillId="6" borderId="1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center" wrapText="1"/>
    </xf>
    <xf numFmtId="2" fontId="0" fillId="10" borderId="1" xfId="0" applyNumberFormat="1" applyFill="1" applyBorder="1" applyAlignment="1">
      <alignment horizontal="center" wrapText="1"/>
    </xf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22" fillId="13" borderId="13" xfId="0" applyFont="1" applyFill="1" applyBorder="1" applyAlignment="1">
      <alignment horizontal="left" vertical="center"/>
    </xf>
    <xf numFmtId="0" fontId="2" fillId="13" borderId="12" xfId="0" applyFont="1" applyFill="1" applyBorder="1"/>
    <xf numFmtId="0" fontId="0" fillId="13" borderId="12" xfId="0" applyFill="1" applyBorder="1"/>
    <xf numFmtId="0" fontId="2" fillId="13" borderId="16" xfId="0" applyFont="1" applyFill="1" applyBorder="1"/>
    <xf numFmtId="0" fontId="0" fillId="13" borderId="16" xfId="0" applyFill="1" applyBorder="1"/>
    <xf numFmtId="0" fontId="22" fillId="8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5" fillId="0" borderId="0" xfId="0" applyFont="1"/>
    <xf numFmtId="0" fontId="30" fillId="0" borderId="0" xfId="0" applyFont="1"/>
    <xf numFmtId="0" fontId="21" fillId="10" borderId="1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32" fillId="0" borderId="0" xfId="0" applyFont="1" applyAlignment="1">
      <alignment wrapText="1"/>
    </xf>
    <xf numFmtId="9" fontId="7" fillId="0" borderId="0" xfId="0" applyNumberFormat="1" applyFont="1" applyAlignment="1">
      <alignment wrapText="1"/>
    </xf>
    <xf numFmtId="9" fontId="7" fillId="0" borderId="0" xfId="1" applyFont="1" applyAlignment="1" applyProtection="1">
      <alignment wrapText="1"/>
    </xf>
    <xf numFmtId="0" fontId="36" fillId="0" borderId="0" xfId="0" applyFont="1" applyAlignment="1">
      <alignment wrapText="1"/>
    </xf>
    <xf numFmtId="165" fontId="7" fillId="0" borderId="0" xfId="0" applyNumberFormat="1" applyFont="1" applyAlignment="1">
      <alignment wrapText="1"/>
    </xf>
    <xf numFmtId="0" fontId="7" fillId="0" borderId="0" xfId="0" applyFont="1"/>
    <xf numFmtId="0" fontId="3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4" fillId="0" borderId="0" xfId="38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7" fillId="8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69" fontId="0" fillId="0" borderId="3" xfId="0" applyNumberFormat="1" applyBorder="1" applyAlignment="1">
      <alignment horizontal="center" wrapText="1"/>
    </xf>
    <xf numFmtId="169" fontId="0" fillId="0" borderId="9" xfId="0" applyNumberFormat="1" applyBorder="1" applyAlignment="1">
      <alignment horizontal="center" wrapText="1"/>
    </xf>
    <xf numFmtId="169" fontId="7" fillId="8" borderId="2" xfId="0" applyNumberFormat="1" applyFont="1" applyFill="1" applyBorder="1" applyAlignment="1">
      <alignment horizontal="center" wrapText="1"/>
    </xf>
    <xf numFmtId="0" fontId="39" fillId="14" borderId="1" xfId="0" applyFont="1" applyFill="1" applyBorder="1" applyAlignment="1">
      <alignment horizontal="center"/>
    </xf>
    <xf numFmtId="0" fontId="38" fillId="0" borderId="0" xfId="0" applyFont="1"/>
    <xf numFmtId="0" fontId="38" fillId="0" borderId="17" xfId="0" applyFont="1" applyBorder="1"/>
    <xf numFmtId="0" fontId="22" fillId="11" borderId="1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168" fontId="30" fillId="14" borderId="12" xfId="0" applyNumberFormat="1" applyFont="1" applyFill="1" applyBorder="1" applyAlignment="1">
      <alignment horizontal="center"/>
    </xf>
    <xf numFmtId="1" fontId="39" fillId="14" borderId="1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8" fontId="30" fillId="14" borderId="1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170" fontId="0" fillId="0" borderId="1" xfId="0" applyNumberFormat="1" applyBorder="1" applyAlignment="1">
      <alignment horizontal="center" wrapText="1"/>
    </xf>
    <xf numFmtId="168" fontId="30" fillId="14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168" fontId="30" fillId="14" borderId="11" xfId="0" applyNumberFormat="1" applyFont="1" applyFill="1" applyBorder="1" applyAlignment="1">
      <alignment horizontal="center"/>
    </xf>
    <xf numFmtId="0" fontId="22" fillId="8" borderId="3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13" borderId="2" xfId="0" applyFont="1" applyFill="1" applyBorder="1" applyAlignment="1">
      <alignment horizontal="left" vertical="center"/>
    </xf>
    <xf numFmtId="0" fontId="0" fillId="0" borderId="3" xfId="0" applyBorder="1"/>
    <xf numFmtId="0" fontId="21" fillId="10" borderId="1" xfId="0" applyFont="1" applyFill="1" applyBorder="1" applyAlignment="1" applyProtection="1">
      <alignment horizontal="center"/>
      <protection locked="0"/>
    </xf>
    <xf numFmtId="9" fontId="28" fillId="8" borderId="1" xfId="1" applyFont="1" applyFill="1" applyBorder="1" applyAlignment="1" applyProtection="1">
      <alignment horizontal="center" wrapText="1"/>
    </xf>
    <xf numFmtId="9" fontId="0" fillId="8" borderId="1" xfId="1" applyFont="1" applyFill="1" applyBorder="1" applyAlignment="1" applyProtection="1">
      <alignment horizontal="center" wrapText="1"/>
      <protection locked="0"/>
    </xf>
    <xf numFmtId="0" fontId="7" fillId="8" borderId="1" xfId="0" applyFont="1" applyFill="1" applyBorder="1" applyAlignment="1" applyProtection="1">
      <alignment horizontal="center"/>
      <protection locked="0"/>
    </xf>
    <xf numFmtId="0" fontId="42" fillId="0" borderId="20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21" xfId="0" applyBorder="1"/>
    <xf numFmtId="0" fontId="7" fillId="0" borderId="22" xfId="0" applyFont="1" applyBorder="1"/>
    <xf numFmtId="0" fontId="0" fillId="0" borderId="8" xfId="0" applyBorder="1" applyAlignment="1">
      <alignment horizontal="center"/>
    </xf>
    <xf numFmtId="0" fontId="23" fillId="0" borderId="23" xfId="0" applyFont="1" applyBorder="1"/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5" fontId="7" fillId="6" borderId="1" xfId="0" applyNumberFormat="1" applyFont="1" applyFill="1" applyBorder="1" applyAlignment="1" applyProtection="1">
      <alignment horizontal="center"/>
      <protection locked="0"/>
    </xf>
    <xf numFmtId="165" fontId="7" fillId="8" borderId="1" xfId="0" applyNumberFormat="1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>
      <alignment horizontal="center"/>
    </xf>
    <xf numFmtId="14" fontId="2" fillId="0" borderId="27" xfId="0" applyNumberFormat="1" applyFont="1" applyBorder="1" applyAlignment="1">
      <alignment horizontal="center"/>
    </xf>
    <xf numFmtId="0" fontId="0" fillId="0" borderId="8" xfId="0" applyBorder="1"/>
    <xf numFmtId="0" fontId="0" fillId="0" borderId="22" xfId="0" applyBorder="1"/>
    <xf numFmtId="0" fontId="25" fillId="13" borderId="0" xfId="0" applyFont="1" applyFill="1"/>
    <xf numFmtId="0" fontId="25" fillId="13" borderId="8" xfId="0" applyFont="1" applyFill="1" applyBorder="1"/>
    <xf numFmtId="0" fontId="45" fillId="0" borderId="22" xfId="0" applyFont="1" applyBorder="1" applyAlignment="1">
      <alignment horizontal="right"/>
    </xf>
    <xf numFmtId="0" fontId="22" fillId="0" borderId="0" xfId="0" applyFont="1" applyAlignment="1">
      <alignment horizontal="left" vertical="center" wrapText="1"/>
    </xf>
    <xf numFmtId="0" fontId="47" fillId="0" borderId="8" xfId="0" applyFont="1" applyBorder="1" applyAlignment="1">
      <alignment wrapText="1"/>
    </xf>
    <xf numFmtId="0" fontId="0" fillId="0" borderId="22" xfId="0" applyBorder="1" applyAlignment="1">
      <alignment vertical="center"/>
    </xf>
    <xf numFmtId="0" fontId="47" fillId="0" borderId="8" xfId="0" applyFont="1" applyBorder="1" applyAlignment="1">
      <alignment vertical="top" wrapText="1"/>
    </xf>
    <xf numFmtId="0" fontId="0" fillId="0" borderId="8" xfId="0" applyBorder="1" applyAlignment="1">
      <alignment vertical="center"/>
    </xf>
    <xf numFmtId="0" fontId="48" fillId="0" borderId="22" xfId="0" applyFont="1" applyBorder="1" applyAlignment="1">
      <alignment horizontal="right"/>
    </xf>
    <xf numFmtId="0" fontId="22" fillId="0" borderId="0" xfId="0" applyFont="1"/>
    <xf numFmtId="0" fontId="21" fillId="0" borderId="0" xfId="0" applyFont="1"/>
    <xf numFmtId="0" fontId="0" fillId="0" borderId="23" xfId="0" applyBorder="1"/>
    <xf numFmtId="0" fontId="0" fillId="0" borderId="24" xfId="0" applyBorder="1"/>
    <xf numFmtId="0" fontId="0" fillId="0" borderId="25" xfId="0" applyBorder="1"/>
    <xf numFmtId="10" fontId="0" fillId="6" borderId="1" xfId="0" applyNumberFormat="1" applyFill="1" applyBorder="1" applyAlignment="1" applyProtection="1">
      <alignment horizontal="center" vertical="center" wrapText="1"/>
      <protection locked="0"/>
    </xf>
    <xf numFmtId="9" fontId="0" fillId="6" borderId="1" xfId="1" applyFont="1" applyFill="1" applyBorder="1" applyAlignment="1" applyProtection="1">
      <alignment horizontal="center" wrapText="1"/>
      <protection locked="0"/>
    </xf>
    <xf numFmtId="165" fontId="0" fillId="6" borderId="1" xfId="1" applyNumberFormat="1" applyFont="1" applyFill="1" applyBorder="1" applyAlignment="1" applyProtection="1">
      <alignment horizontal="center" wrapText="1"/>
      <protection locked="0"/>
    </xf>
    <xf numFmtId="165" fontId="0" fillId="10" borderId="1" xfId="1" applyNumberFormat="1" applyFont="1" applyFill="1" applyBorder="1" applyAlignment="1" applyProtection="1">
      <alignment horizontal="center" wrapText="1"/>
      <protection locked="0"/>
    </xf>
    <xf numFmtId="166" fontId="0" fillId="6" borderId="1" xfId="19" applyNumberFormat="1" applyFont="1" applyFill="1" applyBorder="1" applyAlignment="1" applyProtection="1">
      <alignment horizontal="center" wrapText="1"/>
      <protection locked="0"/>
    </xf>
    <xf numFmtId="0" fontId="20" fillId="0" borderId="0" xfId="0" applyFont="1" applyAlignment="1">
      <alignment horizontal="center"/>
    </xf>
    <xf numFmtId="0" fontId="49" fillId="5" borderId="0" xfId="0" applyFont="1" applyFill="1" applyAlignment="1">
      <alignment horizontal="left"/>
    </xf>
    <xf numFmtId="0" fontId="2" fillId="17" borderId="1" xfId="0" applyFont="1" applyFill="1" applyBorder="1" applyProtection="1">
      <protection locked="0"/>
    </xf>
    <xf numFmtId="0" fontId="46" fillId="0" borderId="0" xfId="0" applyFont="1" applyAlignment="1">
      <alignment horizontal="left" vertical="center" wrapText="1"/>
    </xf>
    <xf numFmtId="0" fontId="44" fillId="14" borderId="20" xfId="0" applyFont="1" applyFill="1" applyBorder="1" applyAlignment="1">
      <alignment horizontal="center" vertical="center" wrapText="1"/>
    </xf>
    <xf numFmtId="0" fontId="44" fillId="14" borderId="18" xfId="0" applyFont="1" applyFill="1" applyBorder="1" applyAlignment="1">
      <alignment horizontal="center" vertical="center" wrapText="1"/>
    </xf>
    <xf numFmtId="0" fontId="44" fillId="14" borderId="21" xfId="0" applyFont="1" applyFill="1" applyBorder="1" applyAlignment="1">
      <alignment horizontal="center" vertical="center" wrapText="1"/>
    </xf>
    <xf numFmtId="0" fontId="44" fillId="14" borderId="23" xfId="0" applyFont="1" applyFill="1" applyBorder="1" applyAlignment="1">
      <alignment horizontal="center" vertical="center" wrapText="1"/>
    </xf>
    <xf numFmtId="0" fontId="44" fillId="14" borderId="24" xfId="0" applyFont="1" applyFill="1" applyBorder="1" applyAlignment="1">
      <alignment horizontal="center" vertical="center" wrapText="1"/>
    </xf>
    <xf numFmtId="0" fontId="44" fillId="14" borderId="25" xfId="0" applyFont="1" applyFill="1" applyBorder="1" applyAlignment="1">
      <alignment horizontal="center" vertical="center" wrapText="1"/>
    </xf>
    <xf numFmtId="0" fontId="25" fillId="13" borderId="0" xfId="0" applyFont="1" applyFill="1" applyAlignment="1">
      <alignment horizontal="left" wrapText="1"/>
    </xf>
    <xf numFmtId="0" fontId="22" fillId="0" borderId="0" xfId="0" applyFont="1" applyAlignment="1">
      <alignment horizontal="left" vertical="center" wrapText="1"/>
    </xf>
    <xf numFmtId="0" fontId="30" fillId="12" borderId="28" xfId="0" applyFont="1" applyFill="1" applyBorder="1" applyAlignment="1">
      <alignment horizontal="center" vertical="center"/>
    </xf>
    <xf numFmtId="0" fontId="30" fillId="12" borderId="29" xfId="0" applyFont="1" applyFill="1" applyBorder="1" applyAlignment="1">
      <alignment horizontal="center" vertical="center"/>
    </xf>
    <xf numFmtId="0" fontId="30" fillId="12" borderId="30" xfId="0" applyFont="1" applyFill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46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0" fillId="15" borderId="28" xfId="0" applyFont="1" applyFill="1" applyBorder="1" applyAlignment="1">
      <alignment horizontal="center" vertical="center"/>
    </xf>
    <xf numFmtId="0" fontId="30" fillId="15" borderId="29" xfId="0" applyFont="1" applyFill="1" applyBorder="1" applyAlignment="1">
      <alignment horizontal="center" vertical="center"/>
    </xf>
    <xf numFmtId="0" fontId="30" fillId="15" borderId="30" xfId="0" applyFont="1" applyFill="1" applyBorder="1" applyAlignment="1">
      <alignment horizontal="center" vertical="center"/>
    </xf>
    <xf numFmtId="0" fontId="30" fillId="16" borderId="28" xfId="0" applyFont="1" applyFill="1" applyBorder="1" applyAlignment="1">
      <alignment horizontal="center" vertical="center"/>
    </xf>
    <xf numFmtId="0" fontId="30" fillId="16" borderId="29" xfId="0" applyFont="1" applyFill="1" applyBorder="1" applyAlignment="1">
      <alignment horizontal="center" vertical="center"/>
    </xf>
    <xf numFmtId="0" fontId="30" fillId="16" borderId="30" xfId="0" applyFont="1" applyFill="1" applyBorder="1" applyAlignment="1">
      <alignment horizontal="center" vertical="center"/>
    </xf>
    <xf numFmtId="0" fontId="44" fillId="12" borderId="28" xfId="0" applyFont="1" applyFill="1" applyBorder="1" applyAlignment="1">
      <alignment horizontal="center" vertical="center"/>
    </xf>
    <xf numFmtId="0" fontId="44" fillId="12" borderId="29" xfId="0" applyFont="1" applyFill="1" applyBorder="1" applyAlignment="1">
      <alignment horizontal="center" vertical="center"/>
    </xf>
    <xf numFmtId="0" fontId="44" fillId="12" borderId="30" xfId="0" applyFont="1" applyFill="1" applyBorder="1" applyAlignment="1">
      <alignment horizontal="center" vertical="center"/>
    </xf>
    <xf numFmtId="0" fontId="40" fillId="7" borderId="0" xfId="0" applyFont="1" applyFill="1" applyAlignment="1">
      <alignment horizontal="center"/>
    </xf>
    <xf numFmtId="0" fontId="39" fillId="14" borderId="2" xfId="0" applyFont="1" applyFill="1" applyBorder="1" applyAlignment="1">
      <alignment horizontal="right"/>
    </xf>
    <xf numFmtId="0" fontId="39" fillId="14" borderId="3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4" fillId="0" borderId="0" xfId="38" applyBorder="1" applyAlignment="1">
      <alignment horizontal="left" vertical="center" wrapText="1"/>
    </xf>
    <xf numFmtId="0" fontId="20" fillId="9" borderId="22" xfId="0" applyFont="1" applyFill="1" applyBorder="1" applyAlignment="1">
      <alignment horizontal="left"/>
    </xf>
    <xf numFmtId="0" fontId="20" fillId="9" borderId="0" xfId="0" applyFont="1" applyFill="1" applyAlignment="1">
      <alignment horizontal="left"/>
    </xf>
    <xf numFmtId="0" fontId="50" fillId="5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27" fillId="8" borderId="1" xfId="0" applyFont="1" applyFill="1" applyBorder="1" applyAlignment="1">
      <alignment horizontal="left" wrapText="1"/>
    </xf>
    <xf numFmtId="0" fontId="27" fillId="8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8" fillId="12" borderId="0" xfId="0" applyFont="1" applyFill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65" fontId="0" fillId="6" borderId="1" xfId="0" applyNumberFormat="1" applyFill="1" applyBorder="1" applyAlignment="1">
      <alignment horizontal="center" vertical="center" wrapText="1"/>
    </xf>
  </cellXfs>
  <cellStyles count="40">
    <cellStyle name="Active" xfId="3" xr:uid="{00000000-0005-0000-0000-000000000000}"/>
    <cellStyle name="Euro" xfId="4" xr:uid="{00000000-0005-0000-0000-000001000000}"/>
    <cellStyle name="Lien hypertexte" xfId="38" builtinId="8"/>
    <cellStyle name="Milliers" xfId="19" builtinId="3"/>
    <cellStyle name="Milliers 2" xfId="5" xr:uid="{00000000-0005-0000-0000-000004000000}"/>
    <cellStyle name="Milliers 2 2" xfId="14" xr:uid="{00000000-0005-0000-0000-000005000000}"/>
    <cellStyle name="Milliers 2 2 2" xfId="31" xr:uid="{00000000-0005-0000-0000-000006000000}"/>
    <cellStyle name="Milliers 2 3" xfId="9" xr:uid="{00000000-0005-0000-0000-000007000000}"/>
    <cellStyle name="Milliers 2 3 2" xfId="26" xr:uid="{00000000-0005-0000-0000-000008000000}"/>
    <cellStyle name="Milliers 2 4" xfId="24" xr:uid="{00000000-0005-0000-0000-000009000000}"/>
    <cellStyle name="Normal" xfId="0" builtinId="0"/>
    <cellStyle name="Normal 2" xfId="6" xr:uid="{00000000-0005-0000-0000-00000B000000}"/>
    <cellStyle name="Normal 3" xfId="7" xr:uid="{00000000-0005-0000-0000-00000C000000}"/>
    <cellStyle name="Normal 4" xfId="2" xr:uid="{00000000-0005-0000-0000-00000D000000}"/>
    <cellStyle name="Normal 4 2" xfId="15" xr:uid="{00000000-0005-0000-0000-00000E000000}"/>
    <cellStyle name="Normal 4 2 2" xfId="32" xr:uid="{00000000-0005-0000-0000-00000F000000}"/>
    <cellStyle name="Normal 4 2 2 2 2 2" xfId="39" xr:uid="{00000000-0005-0000-0000-000010000000}"/>
    <cellStyle name="Normal 4 3" xfId="10" xr:uid="{00000000-0005-0000-0000-000011000000}"/>
    <cellStyle name="Normal 4 3 2" xfId="27" xr:uid="{00000000-0005-0000-0000-000012000000}"/>
    <cellStyle name="Normal 4 4" xfId="23" xr:uid="{00000000-0005-0000-0000-000013000000}"/>
    <cellStyle name="Normal 5" xfId="12" xr:uid="{00000000-0005-0000-0000-000014000000}"/>
    <cellStyle name="Normal 5 2" xfId="17" xr:uid="{00000000-0005-0000-0000-000015000000}"/>
    <cellStyle name="Normal 5 2 2" xfId="34" xr:uid="{00000000-0005-0000-0000-000016000000}"/>
    <cellStyle name="Normal 5 3" xfId="29" xr:uid="{00000000-0005-0000-0000-000017000000}"/>
    <cellStyle name="Normal 6" xfId="20" xr:uid="{00000000-0005-0000-0000-000018000000}"/>
    <cellStyle name="Normal 7" xfId="21" xr:uid="{00000000-0005-0000-0000-000019000000}"/>
    <cellStyle name="Normal 8" xfId="37" xr:uid="{00000000-0005-0000-0000-00001A000000}"/>
    <cellStyle name="Pourcentage" xfId="1" builtinId="5"/>
    <cellStyle name="Pourcentage 2" xfId="8" xr:uid="{00000000-0005-0000-0000-00001C000000}"/>
    <cellStyle name="Pourcentage 2 2" xfId="16" xr:uid="{00000000-0005-0000-0000-00001D000000}"/>
    <cellStyle name="Pourcentage 2 2 2" xfId="33" xr:uid="{00000000-0005-0000-0000-00001E000000}"/>
    <cellStyle name="Pourcentage 2 3" xfId="11" xr:uid="{00000000-0005-0000-0000-00001F000000}"/>
    <cellStyle name="Pourcentage 2 3 2" xfId="28" xr:uid="{00000000-0005-0000-0000-000020000000}"/>
    <cellStyle name="Pourcentage 2 4" xfId="25" xr:uid="{00000000-0005-0000-0000-000021000000}"/>
    <cellStyle name="Pourcentage 3" xfId="13" xr:uid="{00000000-0005-0000-0000-000022000000}"/>
    <cellStyle name="Pourcentage 3 2" xfId="18" xr:uid="{00000000-0005-0000-0000-000023000000}"/>
    <cellStyle name="Pourcentage 3 2 2" xfId="35" xr:uid="{00000000-0005-0000-0000-000024000000}"/>
    <cellStyle name="Pourcentage 3 3" xfId="30" xr:uid="{00000000-0005-0000-0000-000025000000}"/>
    <cellStyle name="Pourcentage 4" xfId="22" xr:uid="{00000000-0005-0000-0000-000026000000}"/>
    <cellStyle name="Pourcentage 5" xfId="36" xr:uid="{00000000-0005-0000-0000-000027000000}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6" tint="-0.499984740745262"/>
      </font>
      <fill>
        <patternFill>
          <bgColor theme="6" tint="0.39994506668294322"/>
        </patternFill>
      </fill>
    </dxf>
    <dxf>
      <font>
        <b/>
        <i val="0"/>
        <color theme="9" tint="-0.499984740745262"/>
      </font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cat>
            <c:numRef>
              <c:f>SIG!$D$20:$W$20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 formatCode="0">
                  <c:v>3</c:v>
                </c:pt>
                <c:pt idx="3" formatCode="0">
                  <c:v>4</c:v>
                </c:pt>
                <c:pt idx="4" formatCode="0">
                  <c:v>5</c:v>
                </c:pt>
                <c:pt idx="5" formatCode="0">
                  <c:v>6</c:v>
                </c:pt>
                <c:pt idx="6" formatCode="0">
                  <c:v>7</c:v>
                </c:pt>
                <c:pt idx="7" formatCode="0">
                  <c:v>8</c:v>
                </c:pt>
                <c:pt idx="8" formatCode="0">
                  <c:v>9</c:v>
                </c:pt>
                <c:pt idx="9" formatCode="0">
                  <c:v>10</c:v>
                </c:pt>
                <c:pt idx="10" formatCode="0">
                  <c:v>11</c:v>
                </c:pt>
                <c:pt idx="11" formatCode="0">
                  <c:v>12</c:v>
                </c:pt>
                <c:pt idx="12" formatCode="0">
                  <c:v>13</c:v>
                </c:pt>
                <c:pt idx="13" formatCode="0">
                  <c:v>14</c:v>
                </c:pt>
                <c:pt idx="14" formatCode="0">
                  <c:v>15</c:v>
                </c:pt>
                <c:pt idx="15" formatCode="0">
                  <c:v>16</c:v>
                </c:pt>
                <c:pt idx="16" formatCode="0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SIG!$D$40:$W$40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F-40DC-AF77-771461613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22208"/>
        <c:axId val="191023744"/>
      </c:barChart>
      <c:catAx>
        <c:axId val="19102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1023744"/>
        <c:crosses val="autoZero"/>
        <c:auto val="1"/>
        <c:lblAlgn val="ctr"/>
        <c:lblOffset val="100"/>
        <c:noMultiLvlLbl val="0"/>
      </c:catAx>
      <c:valAx>
        <c:axId val="1910237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VAN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4.3506853310002924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91022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904876</xdr:colOff>
      <xdr:row>15</xdr:row>
      <xdr:rowOff>171451</xdr:rowOff>
    </xdr:from>
    <xdr:to>
      <xdr:col>10</xdr:col>
      <xdr:colOff>285751</xdr:colOff>
      <xdr:row>21</xdr:row>
      <xdr:rowOff>76201</xdr:rowOff>
    </xdr:to>
    <xdr:sp macro="" textlink="">
      <xdr:nvSpPr>
        <xdr:cNvPr id="7" name="Rectangle : coins arrondis 6">
          <a:extLst>
            <a:ext uri="{FF2B5EF4-FFF2-40B4-BE49-F238E27FC236}">
              <a16:creationId xmlns:a16="http://schemas.microsoft.com/office/drawing/2014/main" id="{6F4BDC6C-B0C2-93AD-6DCF-FC0F26971EF6}"/>
            </a:ext>
          </a:extLst>
        </xdr:cNvPr>
        <xdr:cNvSpPr/>
      </xdr:nvSpPr>
      <xdr:spPr>
        <a:xfrm>
          <a:off x="4343401" y="3619501"/>
          <a:ext cx="4171950" cy="1371600"/>
        </a:xfrm>
        <a:prstGeom prst="roundRect">
          <a:avLst>
            <a:gd name="adj" fmla="val 11772"/>
          </a:avLst>
        </a:prstGeom>
        <a:noFill/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480484</xdr:colOff>
      <xdr:row>12</xdr:row>
      <xdr:rowOff>75142</xdr:rowOff>
    </xdr:from>
    <xdr:to>
      <xdr:col>5</xdr:col>
      <xdr:colOff>718609</xdr:colOff>
      <xdr:row>13</xdr:row>
      <xdr:rowOff>141817</xdr:rowOff>
    </xdr:to>
    <xdr:sp macro="" textlink="">
      <xdr:nvSpPr>
        <xdr:cNvPr id="2" name="Flèche : bas 1">
          <a:extLst>
            <a:ext uri="{FF2B5EF4-FFF2-40B4-BE49-F238E27FC236}">
              <a16:creationId xmlns:a16="http://schemas.microsoft.com/office/drawing/2014/main" id="{A3415927-CE0F-4069-AB89-181080C25AC1}"/>
            </a:ext>
          </a:extLst>
        </xdr:cNvPr>
        <xdr:cNvSpPr/>
      </xdr:nvSpPr>
      <xdr:spPr>
        <a:xfrm>
          <a:off x="3852334" y="2770717"/>
          <a:ext cx="238125" cy="590550"/>
        </a:xfrm>
        <a:prstGeom prst="downArrow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692150</xdr:colOff>
      <xdr:row>15</xdr:row>
      <xdr:rowOff>37042</xdr:rowOff>
    </xdr:from>
    <xdr:to>
      <xdr:col>4</xdr:col>
      <xdr:colOff>930275</xdr:colOff>
      <xdr:row>17</xdr:row>
      <xdr:rowOff>103717</xdr:rowOff>
    </xdr:to>
    <xdr:sp macro="" textlink="">
      <xdr:nvSpPr>
        <xdr:cNvPr id="3" name="Flèche : bas 2">
          <a:extLst>
            <a:ext uri="{FF2B5EF4-FFF2-40B4-BE49-F238E27FC236}">
              <a16:creationId xmlns:a16="http://schemas.microsoft.com/office/drawing/2014/main" id="{02AE8B7A-0EF8-4095-9685-78410332D77A}"/>
            </a:ext>
          </a:extLst>
        </xdr:cNvPr>
        <xdr:cNvSpPr/>
      </xdr:nvSpPr>
      <xdr:spPr>
        <a:xfrm>
          <a:off x="3092450" y="4189942"/>
          <a:ext cx="238125" cy="476250"/>
        </a:xfrm>
        <a:prstGeom prst="downArrow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98424</xdr:colOff>
      <xdr:row>15</xdr:row>
      <xdr:rowOff>38100</xdr:rowOff>
    </xdr:from>
    <xdr:to>
      <xdr:col>6</xdr:col>
      <xdr:colOff>336549</xdr:colOff>
      <xdr:row>17</xdr:row>
      <xdr:rowOff>104775</xdr:rowOff>
    </xdr:to>
    <xdr:sp macro="" textlink="">
      <xdr:nvSpPr>
        <xdr:cNvPr id="4" name="Flèche : bas 3">
          <a:extLst>
            <a:ext uri="{FF2B5EF4-FFF2-40B4-BE49-F238E27FC236}">
              <a16:creationId xmlns:a16="http://schemas.microsoft.com/office/drawing/2014/main" id="{3DFB2C67-2BA5-4AC1-92D1-E400185047B3}"/>
            </a:ext>
          </a:extLst>
        </xdr:cNvPr>
        <xdr:cNvSpPr/>
      </xdr:nvSpPr>
      <xdr:spPr>
        <a:xfrm>
          <a:off x="4622799" y="4191000"/>
          <a:ext cx="238125" cy="476250"/>
        </a:xfrm>
        <a:prstGeom prst="downArrow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10</xdr:col>
      <xdr:colOff>198969</xdr:colOff>
      <xdr:row>0</xdr:row>
      <xdr:rowOff>0</xdr:rowOff>
    </xdr:from>
    <xdr:to>
      <xdr:col>12</xdr:col>
      <xdr:colOff>409034</xdr:colOff>
      <xdr:row>2</xdr:row>
      <xdr:rowOff>166603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9FC7BFD9-5793-4871-8B23-81C42F23D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6544" y="0"/>
          <a:ext cx="1734065" cy="7381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9</xdr:row>
      <xdr:rowOff>59532</xdr:rowOff>
    </xdr:from>
    <xdr:to>
      <xdr:col>0</xdr:col>
      <xdr:colOff>392906</xdr:colOff>
      <xdr:row>9</xdr:row>
      <xdr:rowOff>369094</xdr:rowOff>
    </xdr:to>
    <xdr:sp macro="" textlink="">
      <xdr:nvSpPr>
        <xdr:cNvPr id="2" name="Flèche vers le ba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0500" y="595313"/>
          <a:ext cx="202406" cy="309562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321470</xdr:colOff>
      <xdr:row>0</xdr:row>
      <xdr:rowOff>0</xdr:rowOff>
    </xdr:from>
    <xdr:to>
      <xdr:col>19</xdr:col>
      <xdr:colOff>496436</xdr:colOff>
      <xdr:row>3</xdr:row>
      <xdr:rowOff>130968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1" y="0"/>
          <a:ext cx="1853748" cy="773906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19</xdr:col>
      <xdr:colOff>500063</xdr:colOff>
      <xdr:row>0</xdr:row>
      <xdr:rowOff>0</xdr:rowOff>
    </xdr:from>
    <xdr:to>
      <xdr:col>23</xdr:col>
      <xdr:colOff>11906</xdr:colOff>
      <xdr:row>3</xdr:row>
      <xdr:rowOff>97768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8376" y="0"/>
          <a:ext cx="1750218" cy="740706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51</xdr:row>
      <xdr:rowOff>0</xdr:rowOff>
    </xdr:from>
    <xdr:to>
      <xdr:col>14</xdr:col>
      <xdr:colOff>404812</xdr:colOff>
      <xdr:row>63</xdr:row>
      <xdr:rowOff>198835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98B498DE-3032-43F6-8253-EE907A38D7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F4715-C0AA-48EA-9B96-FE3468E7334C}">
  <sheetPr>
    <tabColor theme="0"/>
  </sheetPr>
  <dimension ref="A1:M30"/>
  <sheetViews>
    <sheetView showGridLines="0" tabSelected="1" workbookViewId="0">
      <selection activeCell="I11" sqref="I11:L12"/>
    </sheetView>
  </sheetViews>
  <sheetFormatPr baseColWidth="10" defaultRowHeight="15" x14ac:dyDescent="0.25"/>
  <cols>
    <col min="1" max="1" width="6.140625" customWidth="1"/>
    <col min="4" max="4" width="8.42578125" customWidth="1"/>
    <col min="5" max="5" width="14.140625" customWidth="1"/>
    <col min="6" max="6" width="18.28515625" customWidth="1"/>
    <col min="7" max="7" width="15.85546875" customWidth="1"/>
    <col min="8" max="8" width="6.5703125" customWidth="1"/>
    <col min="9" max="9" width="19.7109375" customWidth="1"/>
    <col min="13" max="13" width="8.28515625" customWidth="1"/>
  </cols>
  <sheetData>
    <row r="1" spans="1:13" x14ac:dyDescent="0.25">
      <c r="A1" s="180" t="s">
        <v>212</v>
      </c>
      <c r="B1" s="181"/>
      <c r="C1" s="181"/>
      <c r="D1" s="181"/>
      <c r="E1" s="181"/>
      <c r="F1" s="181"/>
      <c r="G1" s="181"/>
      <c r="H1" s="181"/>
      <c r="I1" s="182"/>
      <c r="J1" s="153" t="s">
        <v>203</v>
      </c>
      <c r="K1" s="142"/>
      <c r="L1" s="142"/>
      <c r="M1" s="144"/>
    </row>
    <row r="2" spans="1:13" ht="30" customHeight="1" thickBot="1" x14ac:dyDescent="0.3">
      <c r="A2" s="183"/>
      <c r="B2" s="184"/>
      <c r="C2" s="184"/>
      <c r="D2" s="184"/>
      <c r="E2" s="184"/>
      <c r="F2" s="184"/>
      <c r="G2" s="184"/>
      <c r="H2" s="184"/>
      <c r="I2" s="185"/>
      <c r="J2" s="154">
        <v>45236</v>
      </c>
      <c r="M2" s="155"/>
    </row>
    <row r="3" spans="1:13" x14ac:dyDescent="0.25">
      <c r="A3" s="156"/>
      <c r="M3" s="155"/>
    </row>
    <row r="4" spans="1:13" x14ac:dyDescent="0.25">
      <c r="A4" s="157"/>
      <c r="B4" s="186" t="s">
        <v>228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58"/>
    </row>
    <row r="5" spans="1:13" x14ac:dyDescent="0.25">
      <c r="A5" s="157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58"/>
    </row>
    <row r="6" spans="1:13" x14ac:dyDescent="0.25">
      <c r="A6" s="157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58"/>
    </row>
    <row r="7" spans="1:13" x14ac:dyDescent="0.25">
      <c r="A7" s="157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58"/>
    </row>
    <row r="8" spans="1:13" ht="15.75" x14ac:dyDescent="0.25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M8" s="155"/>
    </row>
    <row r="9" spans="1:13" ht="15.75" x14ac:dyDescent="0.25">
      <c r="A9" s="159" t="s">
        <v>204</v>
      </c>
      <c r="B9" s="187" t="s">
        <v>205</v>
      </c>
      <c r="C9" s="187"/>
      <c r="D9" s="187"/>
      <c r="E9" s="187"/>
      <c r="F9" s="187"/>
      <c r="G9" s="187"/>
      <c r="H9" s="187"/>
      <c r="I9" s="187"/>
      <c r="J9" s="187"/>
      <c r="K9" s="187"/>
      <c r="M9" s="155"/>
    </row>
    <row r="10" spans="1:13" ht="15.75" x14ac:dyDescent="0.25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M10" s="155"/>
    </row>
    <row r="11" spans="1:13" ht="15.75" thickBot="1" x14ac:dyDescent="0.3">
      <c r="A11" s="156"/>
      <c r="I11" s="179"/>
      <c r="J11" s="179"/>
      <c r="K11" s="179"/>
      <c r="L11" s="179"/>
      <c r="M11" s="161"/>
    </row>
    <row r="12" spans="1:13" ht="19.5" thickBot="1" x14ac:dyDescent="0.3">
      <c r="A12" s="162"/>
      <c r="B12" s="121"/>
      <c r="C12" s="121"/>
      <c r="D12" s="121"/>
      <c r="E12" s="188" t="s">
        <v>227</v>
      </c>
      <c r="F12" s="189"/>
      <c r="G12" s="190"/>
      <c r="H12" s="121"/>
      <c r="I12" s="179"/>
      <c r="J12" s="179"/>
      <c r="K12" s="179"/>
      <c r="L12" s="179"/>
      <c r="M12" s="161"/>
    </row>
    <row r="13" spans="1:13" ht="27" customHeight="1" x14ac:dyDescent="0.25">
      <c r="A13" s="156"/>
      <c r="I13" s="179"/>
      <c r="J13" s="179"/>
      <c r="K13" s="179"/>
      <c r="L13" s="179"/>
      <c r="M13" s="163"/>
    </row>
    <row r="14" spans="1:13" x14ac:dyDescent="0.25">
      <c r="A14" s="156"/>
      <c r="I14" s="192"/>
      <c r="J14" s="192"/>
      <c r="K14" s="192"/>
      <c r="L14" s="192"/>
      <c r="M14" s="163"/>
    </row>
    <row r="15" spans="1:13" ht="27" customHeight="1" x14ac:dyDescent="0.25">
      <c r="A15" s="156"/>
      <c r="E15" s="193" t="s">
        <v>206</v>
      </c>
      <c r="F15" s="193"/>
      <c r="G15" s="193"/>
      <c r="I15" s="192"/>
      <c r="J15" s="192"/>
      <c r="K15" s="192"/>
      <c r="L15" s="192"/>
      <c r="M15" s="163"/>
    </row>
    <row r="16" spans="1:13" x14ac:dyDescent="0.25">
      <c r="A16" s="156"/>
      <c r="M16" s="155"/>
    </row>
    <row r="17" spans="1:13" x14ac:dyDescent="0.25">
      <c r="A17" s="156"/>
      <c r="M17" s="155"/>
    </row>
    <row r="18" spans="1:13" ht="15.75" thickBot="1" x14ac:dyDescent="0.3">
      <c r="A18" s="156"/>
      <c r="M18" s="155"/>
    </row>
    <row r="19" spans="1:13" ht="19.5" thickBot="1" x14ac:dyDescent="0.3">
      <c r="A19" s="162"/>
      <c r="B19" s="194" t="s">
        <v>207</v>
      </c>
      <c r="C19" s="195"/>
      <c r="D19" s="195"/>
      <c r="E19" s="196"/>
      <c r="F19" s="121"/>
      <c r="G19" s="197" t="s">
        <v>208</v>
      </c>
      <c r="H19" s="198"/>
      <c r="I19" s="198"/>
      <c r="J19" s="199"/>
      <c r="K19" s="121"/>
      <c r="L19" s="121"/>
      <c r="M19" s="164"/>
    </row>
    <row r="20" spans="1:13" x14ac:dyDescent="0.25">
      <c r="A20" s="156"/>
      <c r="M20" s="155"/>
    </row>
    <row r="21" spans="1:13" ht="35.25" customHeight="1" x14ac:dyDescent="0.25">
      <c r="A21" s="156"/>
      <c r="B21" s="193" t="s">
        <v>209</v>
      </c>
      <c r="C21" s="193"/>
      <c r="D21" s="193"/>
      <c r="E21" s="193"/>
      <c r="G21" s="193" t="s">
        <v>210</v>
      </c>
      <c r="H21" s="193"/>
      <c r="I21" s="193"/>
      <c r="J21" s="193"/>
      <c r="M21" s="155"/>
    </row>
    <row r="22" spans="1:13" x14ac:dyDescent="0.25">
      <c r="A22" s="156"/>
      <c r="M22" s="155"/>
    </row>
    <row r="23" spans="1:13" ht="15.75" x14ac:dyDescent="0.25">
      <c r="A23" s="165" t="s">
        <v>204</v>
      </c>
      <c r="B23" s="166" t="s">
        <v>211</v>
      </c>
      <c r="M23" s="155"/>
    </row>
    <row r="24" spans="1:13" ht="15.75" x14ac:dyDescent="0.25">
      <c r="A24" s="156"/>
      <c r="B24" s="167"/>
      <c r="M24" s="155"/>
    </row>
    <row r="25" spans="1:13" ht="15.75" x14ac:dyDescent="0.25">
      <c r="A25" s="156"/>
      <c r="B25" s="191" t="s">
        <v>213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55"/>
    </row>
    <row r="26" spans="1:13" ht="31.5" customHeight="1" x14ac:dyDescent="0.25">
      <c r="A26" s="156"/>
      <c r="B26" s="191" t="s">
        <v>214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55"/>
    </row>
    <row r="27" spans="1:13" ht="15.75" x14ac:dyDescent="0.25">
      <c r="A27" s="156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55"/>
    </row>
    <row r="28" spans="1:13" x14ac:dyDescent="0.25">
      <c r="A28" s="156"/>
      <c r="M28" s="155"/>
    </row>
    <row r="29" spans="1:13" ht="15.75" x14ac:dyDescent="0.25">
      <c r="A29" s="156"/>
      <c r="B29" s="167"/>
      <c r="M29" s="155"/>
    </row>
    <row r="30" spans="1:13" ht="15.75" thickBot="1" x14ac:dyDescent="0.3">
      <c r="A30" s="168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70"/>
    </row>
  </sheetData>
  <mergeCells count="15">
    <mergeCell ref="B25:L25"/>
    <mergeCell ref="B26:L26"/>
    <mergeCell ref="B27:L27"/>
    <mergeCell ref="I14:L15"/>
    <mergeCell ref="E15:G15"/>
    <mergeCell ref="B19:E19"/>
    <mergeCell ref="G19:J19"/>
    <mergeCell ref="B21:E21"/>
    <mergeCell ref="G21:J21"/>
    <mergeCell ref="I13:L13"/>
    <mergeCell ref="A1:I2"/>
    <mergeCell ref="B4:L7"/>
    <mergeCell ref="B9:K9"/>
    <mergeCell ref="I11:L12"/>
    <mergeCell ref="E12:G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AC63"/>
  <sheetViews>
    <sheetView showGridLines="0" topLeftCell="A23" zoomScale="70" zoomScaleNormal="70" workbookViewId="0">
      <selection activeCell="P56" sqref="P56"/>
    </sheetView>
  </sheetViews>
  <sheetFormatPr baseColWidth="10" defaultColWidth="11.5703125" defaultRowHeight="15" x14ac:dyDescent="0.25"/>
  <cols>
    <col min="1" max="1" width="7.7109375" customWidth="1"/>
    <col min="2" max="2" width="24.28515625" customWidth="1"/>
    <col min="3" max="3" width="10.5703125" customWidth="1"/>
    <col min="4" max="4" width="17.42578125" customWidth="1"/>
    <col min="5" max="5" width="16.42578125" customWidth="1"/>
    <col min="6" max="6" width="12.28515625" customWidth="1"/>
    <col min="7" max="7" width="11.85546875" customWidth="1"/>
    <col min="8" max="8" width="14.140625" customWidth="1"/>
    <col min="9" max="9" width="21.140625" customWidth="1"/>
    <col min="10" max="10" width="22" customWidth="1"/>
    <col min="11" max="11" width="15.28515625" customWidth="1"/>
    <col min="12" max="12" width="16.7109375" customWidth="1"/>
    <col min="13" max="13" width="15.85546875" customWidth="1"/>
    <col min="14" max="14" width="2" customWidth="1"/>
    <col min="15" max="15" width="28.140625" customWidth="1"/>
    <col min="16" max="16" width="119.42578125" customWidth="1"/>
    <col min="17" max="17" width="3.85546875" customWidth="1"/>
    <col min="18" max="18" width="13.140625" customWidth="1"/>
    <col min="19" max="23" width="17.42578125" customWidth="1"/>
  </cols>
  <sheetData>
    <row r="1" spans="1:29" ht="45" customHeight="1" thickBot="1" x14ac:dyDescent="0.3">
      <c r="A1" s="200" t="s">
        <v>215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</row>
    <row r="3" spans="1:29" ht="26.25" x14ac:dyDescent="0.4">
      <c r="B3" s="203" t="s">
        <v>92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P3" s="89"/>
    </row>
    <row r="5" spans="1:29" s="15" customFormat="1" ht="42.75" customHeight="1" x14ac:dyDescent="0.25">
      <c r="A5"/>
      <c r="C5" s="117" t="s">
        <v>129</v>
      </c>
      <c r="D5" s="25" t="s">
        <v>118</v>
      </c>
      <c r="E5" s="25" t="s">
        <v>54</v>
      </c>
      <c r="F5" s="25" t="s">
        <v>55</v>
      </c>
      <c r="G5" s="25" t="s">
        <v>56</v>
      </c>
      <c r="H5" s="25" t="s">
        <v>57</v>
      </c>
      <c r="I5" s="117" t="s">
        <v>167</v>
      </c>
      <c r="J5" s="117" t="s">
        <v>168</v>
      </c>
      <c r="K5" s="117" t="s">
        <v>169</v>
      </c>
      <c r="L5" s="117" t="s">
        <v>170</v>
      </c>
      <c r="M5" s="25" t="s">
        <v>37</v>
      </c>
      <c r="N5"/>
      <c r="O5" s="118" t="s">
        <v>130</v>
      </c>
      <c r="P5" s="121" t="s">
        <v>136</v>
      </c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5.75" x14ac:dyDescent="0.25">
      <c r="A6" t="str">
        <f>ENCAISSEMENTS!A11</f>
        <v>oui</v>
      </c>
      <c r="B6" s="26" t="s">
        <v>222</v>
      </c>
      <c r="C6" s="30"/>
      <c r="D6" s="31"/>
      <c r="E6" s="28"/>
      <c r="F6" s="28"/>
      <c r="G6" s="28"/>
      <c r="H6" s="28"/>
      <c r="I6" s="28"/>
      <c r="J6" s="28"/>
      <c r="K6" s="28"/>
      <c r="L6" s="28"/>
      <c r="M6" s="23">
        <f>SUM(C6:L6)</f>
        <v>0</v>
      </c>
      <c r="N6" s="21"/>
      <c r="O6" s="80" t="s">
        <v>91</v>
      </c>
      <c r="P6" s="77" t="s">
        <v>131</v>
      </c>
    </row>
    <row r="7" spans="1:29" x14ac:dyDescent="0.25">
      <c r="A7" t="str">
        <f>ENCAISSEMENTS!A12</f>
        <v>oui</v>
      </c>
      <c r="B7" s="26" t="s">
        <v>223</v>
      </c>
      <c r="C7" s="30"/>
      <c r="D7" s="31"/>
      <c r="E7" s="28"/>
      <c r="F7" s="28"/>
      <c r="G7" s="28"/>
      <c r="H7" s="28"/>
      <c r="I7" s="28"/>
      <c r="J7" s="28"/>
      <c r="K7" s="28"/>
      <c r="L7" s="28"/>
      <c r="M7" s="23">
        <f t="shared" ref="M7:M25" si="0">SUM(C7:L7)</f>
        <v>0</v>
      </c>
      <c r="N7" s="21"/>
      <c r="O7" s="81"/>
      <c r="P7" s="78" t="s">
        <v>133</v>
      </c>
    </row>
    <row r="8" spans="1:29" ht="15.75" x14ac:dyDescent="0.25">
      <c r="A8" t="str">
        <f>ENCAISSEMENTS!A13</f>
        <v>oui</v>
      </c>
      <c r="B8" s="26" t="s">
        <v>224</v>
      </c>
      <c r="C8" s="30"/>
      <c r="D8" s="31"/>
      <c r="E8" s="28"/>
      <c r="F8" s="28"/>
      <c r="G8" s="28"/>
      <c r="H8" s="28"/>
      <c r="I8" s="28"/>
      <c r="J8" s="28"/>
      <c r="K8" s="28"/>
      <c r="L8" s="28"/>
      <c r="M8" s="23">
        <f t="shared" si="0"/>
        <v>0</v>
      </c>
      <c r="N8" s="21"/>
      <c r="O8" s="80" t="s">
        <v>53</v>
      </c>
      <c r="P8" s="77" t="s">
        <v>132</v>
      </c>
    </row>
    <row r="9" spans="1:29" ht="14.45" customHeight="1" x14ac:dyDescent="0.25">
      <c r="A9" t="str">
        <f>ENCAISSEMENTS!A14</f>
        <v>oui</v>
      </c>
      <c r="B9" s="26" t="s">
        <v>225</v>
      </c>
      <c r="C9" s="30"/>
      <c r="D9" s="31"/>
      <c r="E9" s="28"/>
      <c r="F9" s="28"/>
      <c r="G9" s="28"/>
      <c r="H9" s="28"/>
      <c r="I9" s="28"/>
      <c r="J9" s="28"/>
      <c r="K9" s="28"/>
      <c r="L9" s="28"/>
      <c r="M9" s="23">
        <f t="shared" si="0"/>
        <v>0</v>
      </c>
      <c r="N9" s="21"/>
      <c r="O9" s="81"/>
      <c r="P9" s="78" t="s">
        <v>145</v>
      </c>
    </row>
    <row r="10" spans="1:29" ht="15" customHeight="1" x14ac:dyDescent="0.25">
      <c r="A10" t="str">
        <f>ENCAISSEMENTS!A15</f>
        <v>oui</v>
      </c>
      <c r="B10" s="26" t="s">
        <v>66</v>
      </c>
      <c r="C10" s="30"/>
      <c r="D10" s="31"/>
      <c r="E10" s="28"/>
      <c r="F10" s="28"/>
      <c r="G10" s="28"/>
      <c r="H10" s="28"/>
      <c r="I10" s="28"/>
      <c r="J10" s="28"/>
      <c r="K10" s="28"/>
      <c r="L10" s="28"/>
      <c r="M10" s="23">
        <f t="shared" si="0"/>
        <v>0</v>
      </c>
      <c r="N10" s="21"/>
      <c r="O10" s="80" t="s">
        <v>54</v>
      </c>
      <c r="P10" s="77" t="s">
        <v>97</v>
      </c>
    </row>
    <row r="11" spans="1:29" x14ac:dyDescent="0.25">
      <c r="A11" t="str">
        <f>ENCAISSEMENTS!A16</f>
        <v>oui</v>
      </c>
      <c r="B11" s="26" t="s">
        <v>67</v>
      </c>
      <c r="C11" s="30"/>
      <c r="D11" s="31"/>
      <c r="E11" s="28"/>
      <c r="F11" s="28"/>
      <c r="G11" s="28"/>
      <c r="H11" s="28"/>
      <c r="I11" s="28"/>
      <c r="J11" s="28"/>
      <c r="K11" s="28"/>
      <c r="L11" s="28"/>
      <c r="M11" s="23">
        <f t="shared" si="0"/>
        <v>0</v>
      </c>
      <c r="N11" s="21"/>
      <c r="O11" s="81"/>
      <c r="P11" s="78" t="s">
        <v>98</v>
      </c>
    </row>
    <row r="12" spans="1:29" ht="15.75" x14ac:dyDescent="0.25">
      <c r="A12" t="str">
        <f>ENCAISSEMENTS!A17</f>
        <v>oui</v>
      </c>
      <c r="B12" s="26" t="s">
        <v>68</v>
      </c>
      <c r="C12" s="30"/>
      <c r="D12" s="31"/>
      <c r="E12" s="28"/>
      <c r="F12" s="28"/>
      <c r="G12" s="28"/>
      <c r="H12" s="28"/>
      <c r="I12" s="28"/>
      <c r="J12" s="28"/>
      <c r="K12" s="28"/>
      <c r="L12" s="28"/>
      <c r="M12" s="23">
        <f t="shared" si="0"/>
        <v>0</v>
      </c>
      <c r="N12" s="21"/>
      <c r="O12" s="80" t="s">
        <v>55</v>
      </c>
      <c r="P12" s="77" t="s">
        <v>134</v>
      </c>
    </row>
    <row r="13" spans="1:29" x14ac:dyDescent="0.25">
      <c r="A13" t="str">
        <f>ENCAISSEMENTS!A18</f>
        <v>oui</v>
      </c>
      <c r="B13" s="26" t="s">
        <v>69</v>
      </c>
      <c r="C13" s="30"/>
      <c r="D13" s="31"/>
      <c r="E13" s="28"/>
      <c r="F13" s="28"/>
      <c r="G13" s="28"/>
      <c r="H13" s="28"/>
      <c r="I13" s="28"/>
      <c r="J13" s="28"/>
      <c r="K13" s="28"/>
      <c r="L13" s="28"/>
      <c r="M13" s="23">
        <f t="shared" si="0"/>
        <v>0</v>
      </c>
      <c r="N13" s="21"/>
      <c r="O13" s="81"/>
      <c r="P13" s="78" t="s">
        <v>99</v>
      </c>
    </row>
    <row r="14" spans="1:29" ht="15.75" x14ac:dyDescent="0.25">
      <c r="A14" t="str">
        <f>ENCAISSEMENTS!A19</f>
        <v>oui</v>
      </c>
      <c r="B14" s="26" t="s">
        <v>70</v>
      </c>
      <c r="C14" s="30"/>
      <c r="D14" s="31"/>
      <c r="E14" s="28"/>
      <c r="F14" s="28"/>
      <c r="G14" s="28"/>
      <c r="H14" s="28"/>
      <c r="I14" s="28"/>
      <c r="J14" s="28"/>
      <c r="K14" s="28"/>
      <c r="L14" s="28"/>
      <c r="M14" s="23">
        <f t="shared" si="0"/>
        <v>0</v>
      </c>
      <c r="N14" s="21"/>
      <c r="O14" s="80" t="s">
        <v>56</v>
      </c>
      <c r="P14" s="77" t="s">
        <v>100</v>
      </c>
    </row>
    <row r="15" spans="1:29" x14ac:dyDescent="0.25">
      <c r="A15" t="str">
        <f>ENCAISSEMENTS!A20</f>
        <v>non</v>
      </c>
      <c r="B15" s="26" t="s">
        <v>76</v>
      </c>
      <c r="C15" s="30"/>
      <c r="D15" s="31"/>
      <c r="E15" s="28"/>
      <c r="F15" s="28"/>
      <c r="G15" s="28"/>
      <c r="H15" s="28"/>
      <c r="I15" s="28"/>
      <c r="J15" s="28"/>
      <c r="K15" s="28"/>
      <c r="L15" s="28"/>
      <c r="M15" s="23">
        <f t="shared" si="0"/>
        <v>0</v>
      </c>
      <c r="N15" s="21"/>
      <c r="O15" s="81"/>
      <c r="P15" s="78" t="s">
        <v>176</v>
      </c>
    </row>
    <row r="16" spans="1:29" ht="14.45" customHeight="1" x14ac:dyDescent="0.25">
      <c r="A16" t="str">
        <f>ENCAISSEMENTS!A21</f>
        <v>non</v>
      </c>
      <c r="B16" s="26" t="s">
        <v>78</v>
      </c>
      <c r="C16" s="30"/>
      <c r="D16" s="31"/>
      <c r="E16" s="28"/>
      <c r="F16" s="28"/>
      <c r="G16" s="28"/>
      <c r="H16" s="28"/>
      <c r="I16" s="28"/>
      <c r="J16" s="28"/>
      <c r="K16" s="28"/>
      <c r="L16" s="28"/>
      <c r="M16" s="23">
        <f t="shared" si="0"/>
        <v>0</v>
      </c>
      <c r="N16" s="21"/>
      <c r="O16" s="80" t="s">
        <v>57</v>
      </c>
      <c r="P16" s="77" t="s">
        <v>171</v>
      </c>
    </row>
    <row r="17" spans="1:16" ht="15" customHeight="1" x14ac:dyDescent="0.25">
      <c r="A17" t="str">
        <f>ENCAISSEMENTS!A22</f>
        <v>non</v>
      </c>
      <c r="B17" s="26" t="s">
        <v>79</v>
      </c>
      <c r="C17" s="30"/>
      <c r="D17" s="31"/>
      <c r="E17" s="28"/>
      <c r="F17" s="28"/>
      <c r="G17" s="28"/>
      <c r="H17" s="28"/>
      <c r="I17" s="28"/>
      <c r="J17" s="28"/>
      <c r="K17" s="28"/>
      <c r="L17" s="28"/>
      <c r="M17" s="23">
        <f t="shared" si="0"/>
        <v>0</v>
      </c>
      <c r="N17" s="21"/>
      <c r="O17" s="81"/>
      <c r="P17" s="78" t="s">
        <v>229</v>
      </c>
    </row>
    <row r="18" spans="1:16" ht="15.75" x14ac:dyDescent="0.25">
      <c r="A18" t="str">
        <f>ENCAISSEMENTS!A23</f>
        <v>non</v>
      </c>
      <c r="B18" s="26" t="s">
        <v>80</v>
      </c>
      <c r="C18" s="30"/>
      <c r="D18" s="31"/>
      <c r="E18" s="28"/>
      <c r="F18" s="28"/>
      <c r="G18" s="28"/>
      <c r="H18" s="28"/>
      <c r="I18" s="28"/>
      <c r="J18" s="28"/>
      <c r="K18" s="28"/>
      <c r="L18" s="28"/>
      <c r="M18" s="23">
        <f t="shared" si="0"/>
        <v>0</v>
      </c>
      <c r="N18" s="21"/>
      <c r="O18" s="80" t="s">
        <v>64</v>
      </c>
      <c r="P18" s="77" t="s">
        <v>135</v>
      </c>
    </row>
    <row r="19" spans="1:16" ht="15" customHeight="1" x14ac:dyDescent="0.25">
      <c r="A19" t="str">
        <f>ENCAISSEMENTS!A24</f>
        <v>non</v>
      </c>
      <c r="B19" s="26" t="s">
        <v>81</v>
      </c>
      <c r="C19" s="30"/>
      <c r="D19" s="31"/>
      <c r="E19" s="28"/>
      <c r="F19" s="28"/>
      <c r="G19" s="28"/>
      <c r="H19" s="28"/>
      <c r="I19" s="28"/>
      <c r="J19" s="28"/>
      <c r="K19" s="28"/>
      <c r="L19" s="28"/>
      <c r="M19" s="23">
        <f t="shared" si="0"/>
        <v>0</v>
      </c>
      <c r="N19" s="21"/>
      <c r="O19" s="83"/>
      <c r="P19" s="79" t="s">
        <v>146</v>
      </c>
    </row>
    <row r="20" spans="1:16" ht="15.75" x14ac:dyDescent="0.25">
      <c r="A20" t="str">
        <f>ENCAISSEMENTS!A25</f>
        <v>non</v>
      </c>
      <c r="B20" s="26" t="s">
        <v>82</v>
      </c>
      <c r="C20" s="30"/>
      <c r="D20" s="31"/>
      <c r="E20" s="28"/>
      <c r="F20" s="28"/>
      <c r="G20" s="28"/>
      <c r="H20" s="28"/>
      <c r="I20" s="28"/>
      <c r="J20" s="28"/>
      <c r="K20" s="28"/>
      <c r="L20" s="28"/>
      <c r="M20" s="23">
        <f t="shared" si="0"/>
        <v>0</v>
      </c>
      <c r="N20" s="21"/>
      <c r="O20" s="80" t="s">
        <v>102</v>
      </c>
      <c r="P20" s="77" t="s">
        <v>103</v>
      </c>
    </row>
    <row r="21" spans="1:16" x14ac:dyDescent="0.25">
      <c r="A21" t="str">
        <f>ENCAISSEMENTS!A26</f>
        <v>non</v>
      </c>
      <c r="B21" s="26" t="s">
        <v>83</v>
      </c>
      <c r="C21" s="30"/>
      <c r="D21" s="31"/>
      <c r="E21" s="28"/>
      <c r="F21" s="28"/>
      <c r="G21" s="28"/>
      <c r="H21" s="28"/>
      <c r="I21" s="28"/>
      <c r="J21" s="28"/>
      <c r="K21" s="28"/>
      <c r="L21" s="28"/>
      <c r="M21" s="23">
        <f t="shared" si="0"/>
        <v>0</v>
      </c>
      <c r="N21" s="21"/>
      <c r="O21" s="82"/>
      <c r="P21" s="78" t="s">
        <v>101</v>
      </c>
    </row>
    <row r="22" spans="1:16" ht="15.75" x14ac:dyDescent="0.25">
      <c r="A22" t="str">
        <f>ENCAISSEMENTS!A27</f>
        <v>non</v>
      </c>
      <c r="B22" s="26" t="s">
        <v>113</v>
      </c>
      <c r="C22" s="30"/>
      <c r="D22" s="31"/>
      <c r="E22" s="28"/>
      <c r="F22" s="28"/>
      <c r="G22" s="28"/>
      <c r="H22" s="28"/>
      <c r="I22" s="28"/>
      <c r="J22" s="28"/>
      <c r="K22" s="28"/>
      <c r="L22" s="28"/>
      <c r="M22" s="23">
        <f t="shared" si="0"/>
        <v>0</v>
      </c>
      <c r="N22" s="21"/>
      <c r="O22" s="80" t="s">
        <v>172</v>
      </c>
      <c r="P22" s="77" t="s">
        <v>173</v>
      </c>
    </row>
    <row r="23" spans="1:16" x14ac:dyDescent="0.25">
      <c r="A23" t="str">
        <f>ENCAISSEMENTS!A28</f>
        <v>non</v>
      </c>
      <c r="B23" s="26" t="s">
        <v>114</v>
      </c>
      <c r="C23" s="30"/>
      <c r="D23" s="31"/>
      <c r="E23" s="28"/>
      <c r="F23" s="28"/>
      <c r="G23" s="28"/>
      <c r="H23" s="28"/>
      <c r="I23" s="28"/>
      <c r="J23" s="28"/>
      <c r="K23" s="28"/>
      <c r="L23" s="28"/>
      <c r="M23" s="23">
        <f t="shared" si="0"/>
        <v>0</v>
      </c>
      <c r="N23" s="21"/>
      <c r="O23" s="82"/>
      <c r="P23" s="78" t="s">
        <v>221</v>
      </c>
    </row>
    <row r="24" spans="1:16" x14ac:dyDescent="0.25">
      <c r="A24" t="str">
        <f>ENCAISSEMENTS!A29</f>
        <v>non</v>
      </c>
      <c r="B24" s="26" t="s">
        <v>115</v>
      </c>
      <c r="C24" s="30"/>
      <c r="D24" s="31"/>
      <c r="E24" s="28"/>
      <c r="F24" s="28"/>
      <c r="G24" s="28"/>
      <c r="H24" s="28"/>
      <c r="I24" s="28"/>
      <c r="J24" s="28"/>
      <c r="K24" s="28"/>
      <c r="L24" s="28"/>
      <c r="M24" s="23">
        <f t="shared" si="0"/>
        <v>0</v>
      </c>
      <c r="N24" s="21"/>
    </row>
    <row r="25" spans="1:16" ht="14.45" customHeight="1" thickBot="1" x14ac:dyDescent="0.3">
      <c r="A25" t="str">
        <f>ENCAISSEMENTS!A30</f>
        <v>non</v>
      </c>
      <c r="B25" s="26" t="s">
        <v>116</v>
      </c>
      <c r="C25" s="30"/>
      <c r="D25" s="31"/>
      <c r="E25" s="28"/>
      <c r="F25" s="28"/>
      <c r="G25" s="28"/>
      <c r="H25" s="28"/>
      <c r="I25" s="28"/>
      <c r="J25" s="28"/>
      <c r="K25" s="28"/>
      <c r="L25" s="28"/>
      <c r="M25" s="23">
        <f t="shared" si="0"/>
        <v>0</v>
      </c>
      <c r="N25" s="21"/>
    </row>
    <row r="26" spans="1:16" ht="19.5" thickBot="1" x14ac:dyDescent="0.35">
      <c r="A26" s="204" t="s">
        <v>124</v>
      </c>
      <c r="B26" s="205"/>
      <c r="C26" s="119">
        <f>SUMPRODUCT(C6:C25,ENCAISSEMENTS!$Y$11:$Y$30)</f>
        <v>0</v>
      </c>
      <c r="D26" s="119">
        <f>SUMPRODUCT(D6:D25,ENCAISSEMENTS!$Y$11:$Y$30)</f>
        <v>0</v>
      </c>
      <c r="E26" s="119">
        <f>SUMPRODUCT(E6:E25,ENCAISSEMENTS!$Y$11:$Y$30)</f>
        <v>0</v>
      </c>
      <c r="F26" s="119">
        <f>SUMPRODUCT(F6:F25,ENCAISSEMENTS!$Y$11:$Y$30)</f>
        <v>0</v>
      </c>
      <c r="G26" s="119">
        <f>SUMPRODUCT(G6:G25,ENCAISSEMENTS!$Y$11:$Y$30)</f>
        <v>0</v>
      </c>
      <c r="H26" s="119">
        <f>SUMPRODUCT(H6:H25,ENCAISSEMENTS!$Y$11:$Y$30)</f>
        <v>0</v>
      </c>
      <c r="I26" s="119">
        <f>SUMPRODUCT(I6:I25,ENCAISSEMENTS!$Y$11:$Y$30)</f>
        <v>0</v>
      </c>
      <c r="J26" s="119">
        <f>SUMPRODUCT(J6:J25,ENCAISSEMENTS!$Y$11:$Y$30)</f>
        <v>0</v>
      </c>
      <c r="K26" s="119">
        <f>SUMPRODUCT(K6:K25,ENCAISSEMENTS!$Y$11:$Y$30)</f>
        <v>0</v>
      </c>
      <c r="L26" s="119">
        <f>SUMPRODUCT(L6:L25,ENCAISSEMENTS!$Y$11:$Y$30)</f>
        <v>0</v>
      </c>
      <c r="M26" s="120">
        <f>SUM(C26:L26)</f>
        <v>0</v>
      </c>
    </row>
    <row r="29" spans="1:16" ht="26.25" x14ac:dyDescent="0.4">
      <c r="B29" s="203" t="s">
        <v>93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O29" s="118" t="s">
        <v>96</v>
      </c>
      <c r="P29" s="90"/>
    </row>
    <row r="31" spans="1:16" ht="47.25" x14ac:dyDescent="0.25">
      <c r="C31" s="132"/>
      <c r="D31" s="131" t="s">
        <v>153</v>
      </c>
      <c r="E31" s="14" t="s">
        <v>155</v>
      </c>
      <c r="F31" s="87" t="s">
        <v>156</v>
      </c>
      <c r="G31" s="87" t="s">
        <v>154</v>
      </c>
      <c r="H31" s="126" t="s">
        <v>37</v>
      </c>
      <c r="I31" s="127"/>
      <c r="J31" s="127"/>
      <c r="K31" s="127"/>
      <c r="O31" s="80" t="s">
        <v>65</v>
      </c>
      <c r="P31" s="77" t="s">
        <v>148</v>
      </c>
    </row>
    <row r="32" spans="1:16" ht="18.75" x14ac:dyDescent="0.3">
      <c r="B32" s="206" t="s">
        <v>157</v>
      </c>
      <c r="C32" s="207"/>
      <c r="D32" s="28">
        <v>1500</v>
      </c>
      <c r="E32" s="28">
        <v>250</v>
      </c>
      <c r="F32" s="28">
        <v>45</v>
      </c>
      <c r="G32" s="32">
        <v>500</v>
      </c>
      <c r="H32" s="130">
        <f>SUM(D32:G32)</f>
        <v>2295</v>
      </c>
      <c r="I32" s="128"/>
      <c r="J32" s="128"/>
      <c r="K32" s="129"/>
      <c r="O32" s="81"/>
      <c r="P32" s="78" t="s">
        <v>219</v>
      </c>
    </row>
    <row r="33" spans="1:22" ht="15.75" x14ac:dyDescent="0.25">
      <c r="O33" s="80" t="s">
        <v>107</v>
      </c>
      <c r="P33" s="77" t="s">
        <v>111</v>
      </c>
    </row>
    <row r="34" spans="1:22" x14ac:dyDescent="0.25">
      <c r="O34" s="81"/>
      <c r="P34" s="78" t="s">
        <v>230</v>
      </c>
    </row>
    <row r="35" spans="1:22" s="11" customFormat="1" ht="31.5" x14ac:dyDescent="0.25">
      <c r="A35"/>
      <c r="C35" s="14" t="s">
        <v>58</v>
      </c>
      <c r="D35" s="14" t="s">
        <v>59</v>
      </c>
      <c r="E35" s="14" t="s">
        <v>60</v>
      </c>
      <c r="F35" s="87" t="s">
        <v>61</v>
      </c>
      <c r="G35" s="14" t="s">
        <v>36</v>
      </c>
      <c r="H35" s="14" t="s">
        <v>151</v>
      </c>
      <c r="I35" s="14" t="s">
        <v>57</v>
      </c>
      <c r="J35" s="14" t="s">
        <v>152</v>
      </c>
      <c r="K35" s="14" t="s">
        <v>199</v>
      </c>
      <c r="L35" s="24" t="s">
        <v>37</v>
      </c>
      <c r="N35"/>
      <c r="O35" s="80" t="s">
        <v>158</v>
      </c>
      <c r="P35" s="77" t="s">
        <v>159</v>
      </c>
      <c r="Q35"/>
      <c r="R35"/>
      <c r="S35"/>
      <c r="T35"/>
      <c r="U35"/>
      <c r="V35"/>
    </row>
    <row r="36" spans="1:22" ht="15.75" x14ac:dyDescent="0.25">
      <c r="A36" t="str">
        <f>ENCAISSEMENTS!A11</f>
        <v>oui</v>
      </c>
      <c r="B36" s="1" t="str">
        <f>B6</f>
        <v>INSTALL 1</v>
      </c>
      <c r="C36" s="13">
        <f>ENCAISSEMENTS!C11</f>
        <v>0</v>
      </c>
      <c r="D36" s="28"/>
      <c r="E36" s="28"/>
      <c r="F36" s="28"/>
      <c r="G36" s="137" t="str">
        <f>IF(ENCAISSEMENTS!D11&gt;250,737.76,IF(ENCAISSEMENTS!D11&gt;36,447.78,IF(ENCAISSEMENTS!D11&gt;0,33.6,"")))</f>
        <v/>
      </c>
      <c r="H36" s="137" t="str">
        <f>IF(ENCAISSEMENTS!D11&gt;100,3.206*ENCAISSEMENTS!D11,"")</f>
        <v/>
      </c>
      <c r="I36" s="32"/>
      <c r="J36" s="32"/>
      <c r="K36" s="32"/>
      <c r="L36" s="91">
        <f>SUM(D36:K36)</f>
        <v>0</v>
      </c>
      <c r="O36" s="135" t="s">
        <v>108</v>
      </c>
      <c r="P36" s="136" t="s">
        <v>149</v>
      </c>
    </row>
    <row r="37" spans="1:22" ht="15.75" x14ac:dyDescent="0.25">
      <c r="A37" t="str">
        <f>ENCAISSEMENTS!A12</f>
        <v>oui</v>
      </c>
      <c r="B37" s="1" t="str">
        <f t="shared" ref="B37:B55" si="1">B7</f>
        <v>INSTALL 2</v>
      </c>
      <c r="C37" s="13">
        <f>ENCAISSEMENTS!C12</f>
        <v>0</v>
      </c>
      <c r="D37" s="28"/>
      <c r="E37" s="28"/>
      <c r="F37" s="28"/>
      <c r="G37" s="137" t="str">
        <f>IF(ENCAISSEMENTS!D12&gt;250,737.76,IF(ENCAISSEMENTS!D12&gt;36,447.78,IF(ENCAISSEMENTS!D12&gt;0,33.6,"")))</f>
        <v/>
      </c>
      <c r="H37" s="137" t="str">
        <f>IF(ENCAISSEMENTS!D12&gt;100,3.206*ENCAISSEMENTS!D12,"")</f>
        <v/>
      </c>
      <c r="I37" s="32"/>
      <c r="J37" s="32"/>
      <c r="K37" s="32"/>
      <c r="L37" s="91">
        <f t="shared" ref="L37:L54" si="2">SUM(D37:K37)</f>
        <v>0</v>
      </c>
    </row>
    <row r="38" spans="1:22" ht="15.75" x14ac:dyDescent="0.25">
      <c r="A38" t="str">
        <f>ENCAISSEMENTS!A13</f>
        <v>oui</v>
      </c>
      <c r="B38" s="1" t="str">
        <f t="shared" si="1"/>
        <v>INSTALL 3</v>
      </c>
      <c r="C38" s="13">
        <f>ENCAISSEMENTS!C13</f>
        <v>0</v>
      </c>
      <c r="D38" s="28"/>
      <c r="E38" s="28"/>
      <c r="F38" s="28"/>
      <c r="G38" s="137" t="str">
        <f>IF(ENCAISSEMENTS!D13&gt;250,737.76,IF(ENCAISSEMENTS!D13&gt;36,447.78,IF(ENCAISSEMENTS!D13&gt;0,33.6,"")))</f>
        <v/>
      </c>
      <c r="H38" s="137" t="str">
        <f>IF(ENCAISSEMENTS!D13&gt;100,3.206*ENCAISSEMENTS!D13,"")</f>
        <v/>
      </c>
      <c r="I38" s="32"/>
      <c r="J38" s="32"/>
      <c r="K38" s="32"/>
      <c r="L38" s="91">
        <f t="shared" si="2"/>
        <v>0</v>
      </c>
      <c r="O38" s="134"/>
      <c r="P38" s="78"/>
    </row>
    <row r="39" spans="1:22" ht="15.75" x14ac:dyDescent="0.25">
      <c r="A39" t="str">
        <f>ENCAISSEMENTS!A14</f>
        <v>oui</v>
      </c>
      <c r="B39" s="1" t="str">
        <f t="shared" si="1"/>
        <v>INSTALL 4</v>
      </c>
      <c r="C39" s="13">
        <f>ENCAISSEMENTS!C14</f>
        <v>0</v>
      </c>
      <c r="D39" s="28"/>
      <c r="E39" s="28"/>
      <c r="F39" s="28"/>
      <c r="G39" s="137" t="str">
        <f>IF(ENCAISSEMENTS!D14&gt;250,737.76,IF(ENCAISSEMENTS!D14&gt;36,447.78,IF(ENCAISSEMENTS!D14&gt;0,33.6,"")))</f>
        <v/>
      </c>
      <c r="H39" s="137" t="str">
        <f>IF(ENCAISSEMENTS!D14&gt;100,3.206*ENCAISSEMENTS!D14,"")</f>
        <v/>
      </c>
      <c r="I39" s="32"/>
      <c r="J39" s="32"/>
      <c r="K39" s="32"/>
      <c r="L39" s="91">
        <f t="shared" si="2"/>
        <v>0</v>
      </c>
      <c r="O39" s="133" t="s">
        <v>104</v>
      </c>
      <c r="P39" s="77" t="s">
        <v>109</v>
      </c>
    </row>
    <row r="40" spans="1:22" ht="15.75" x14ac:dyDescent="0.25">
      <c r="A40" t="str">
        <f>ENCAISSEMENTS!A15</f>
        <v>oui</v>
      </c>
      <c r="B40" s="1" t="str">
        <f t="shared" si="1"/>
        <v>INSTALL 5</v>
      </c>
      <c r="C40" s="13">
        <f>ENCAISSEMENTS!C15</f>
        <v>0</v>
      </c>
      <c r="D40" s="28"/>
      <c r="E40" s="28"/>
      <c r="F40" s="28"/>
      <c r="G40" s="137" t="str">
        <f>IF(ENCAISSEMENTS!D15&gt;250,737.76,IF(ENCAISSEMENTS!D15&gt;36,447.78,IF(ENCAISSEMENTS!D15&gt;0,33.6,"")))</f>
        <v/>
      </c>
      <c r="H40" s="137" t="str">
        <f>IF(ENCAISSEMENTS!D15&gt;100,3.206*ENCAISSEMENTS!D15,"")</f>
        <v/>
      </c>
      <c r="I40" s="32"/>
      <c r="J40" s="32"/>
      <c r="K40" s="32"/>
      <c r="L40" s="91">
        <f t="shared" si="2"/>
        <v>0</v>
      </c>
      <c r="O40" s="83"/>
      <c r="P40" s="79" t="s">
        <v>175</v>
      </c>
    </row>
    <row r="41" spans="1:22" ht="15.75" x14ac:dyDescent="0.25">
      <c r="A41" t="str">
        <f>ENCAISSEMENTS!A16</f>
        <v>oui</v>
      </c>
      <c r="B41" s="1" t="str">
        <f t="shared" si="1"/>
        <v>INSTALL 6</v>
      </c>
      <c r="C41" s="13">
        <f>ENCAISSEMENTS!C16</f>
        <v>0</v>
      </c>
      <c r="D41" s="28"/>
      <c r="E41" s="28"/>
      <c r="F41" s="28"/>
      <c r="G41" s="137" t="str">
        <f>IF(ENCAISSEMENTS!D16&gt;250,737.76,IF(ENCAISSEMENTS!D16&gt;36,447.78,IF(ENCAISSEMENTS!D16&gt;0,33.6,"")))</f>
        <v/>
      </c>
      <c r="H41" s="137" t="str">
        <f>IF(ENCAISSEMENTS!D16&gt;100,3.206*ENCAISSEMENTS!D16,"")</f>
        <v/>
      </c>
      <c r="I41" s="32"/>
      <c r="J41" s="32"/>
      <c r="K41" s="32"/>
      <c r="L41" s="91">
        <f t="shared" si="2"/>
        <v>0</v>
      </c>
      <c r="O41" s="80" t="s">
        <v>105</v>
      </c>
      <c r="P41" s="77" t="s">
        <v>147</v>
      </c>
    </row>
    <row r="42" spans="1:22" ht="15.75" x14ac:dyDescent="0.25">
      <c r="A42" t="str">
        <f>ENCAISSEMENTS!A17</f>
        <v>oui</v>
      </c>
      <c r="B42" s="1" t="str">
        <f t="shared" si="1"/>
        <v>INSTALL 7</v>
      </c>
      <c r="C42" s="13">
        <f>ENCAISSEMENTS!C17</f>
        <v>0</v>
      </c>
      <c r="D42" s="28"/>
      <c r="E42" s="28"/>
      <c r="F42" s="28"/>
      <c r="G42" s="137" t="str">
        <f>IF(ENCAISSEMENTS!D17&gt;250,737.76,IF(ENCAISSEMENTS!D17&gt;36,447.78,IF(ENCAISSEMENTS!D17&gt;0,33.6,"")))</f>
        <v/>
      </c>
      <c r="H42" s="137" t="str">
        <f>IF(ENCAISSEMENTS!D17&gt;100,3.206*ENCAISSEMENTS!D17,"")</f>
        <v/>
      </c>
      <c r="I42" s="32"/>
      <c r="J42" s="32"/>
      <c r="K42" s="32"/>
      <c r="L42" s="91">
        <f t="shared" si="2"/>
        <v>0</v>
      </c>
      <c r="O42" s="83"/>
      <c r="P42" s="79" t="s">
        <v>150</v>
      </c>
    </row>
    <row r="43" spans="1:22" ht="15.75" x14ac:dyDescent="0.25">
      <c r="A43" t="str">
        <f>ENCAISSEMENTS!A18</f>
        <v>oui</v>
      </c>
      <c r="B43" s="1" t="str">
        <f t="shared" si="1"/>
        <v>INSTALL 8</v>
      </c>
      <c r="C43" s="13">
        <f>ENCAISSEMENTS!C18</f>
        <v>0</v>
      </c>
      <c r="D43" s="28"/>
      <c r="E43" s="28"/>
      <c r="F43" s="28"/>
      <c r="G43" s="137" t="str">
        <f>IF(ENCAISSEMENTS!D18&gt;250,737.76,IF(ENCAISSEMENTS!D18&gt;36,447.78,IF(ENCAISSEMENTS!D18&gt;0,33.6,"")))</f>
        <v/>
      </c>
      <c r="H43" s="137" t="str">
        <f>IF(ENCAISSEMENTS!D18&gt;100,3.206*ENCAISSEMENTS!D18,"")</f>
        <v/>
      </c>
      <c r="I43" s="32"/>
      <c r="J43" s="32"/>
      <c r="K43" s="32"/>
      <c r="L43" s="91">
        <f t="shared" si="2"/>
        <v>0</v>
      </c>
      <c r="O43" s="84"/>
      <c r="P43" s="79" t="s">
        <v>231</v>
      </c>
    </row>
    <row r="44" spans="1:22" ht="15.75" x14ac:dyDescent="0.25">
      <c r="A44" t="str">
        <f>ENCAISSEMENTS!A19</f>
        <v>oui</v>
      </c>
      <c r="B44" s="1" t="str">
        <f t="shared" si="1"/>
        <v>INSTALL 9</v>
      </c>
      <c r="C44" s="13">
        <f>ENCAISSEMENTS!C19</f>
        <v>0</v>
      </c>
      <c r="D44" s="28"/>
      <c r="E44" s="28"/>
      <c r="F44" s="28"/>
      <c r="G44" s="137" t="str">
        <f>IF(ENCAISSEMENTS!D19&gt;250,737.76,IF(ENCAISSEMENTS!D19&gt;36,447.78,IF(ENCAISSEMENTS!D19&gt;0,33.6,"")))</f>
        <v/>
      </c>
      <c r="H44" s="137" t="str">
        <f>IF(ENCAISSEMENTS!D19&gt;100,3.206*ENCAISSEMENTS!D19,"")</f>
        <v/>
      </c>
      <c r="I44" s="32"/>
      <c r="J44" s="32"/>
      <c r="K44" s="32"/>
      <c r="L44" s="91">
        <f t="shared" si="2"/>
        <v>0</v>
      </c>
      <c r="O44" s="84"/>
      <c r="P44" s="79" t="s">
        <v>232</v>
      </c>
    </row>
    <row r="45" spans="1:22" ht="15.75" x14ac:dyDescent="0.25">
      <c r="A45" t="str">
        <f>ENCAISSEMENTS!A20</f>
        <v>non</v>
      </c>
      <c r="B45" s="1" t="str">
        <f t="shared" si="1"/>
        <v>INSTALL 10</v>
      </c>
      <c r="C45" s="13">
        <f>ENCAISSEMENTS!C20</f>
        <v>0</v>
      </c>
      <c r="D45" s="28"/>
      <c r="E45" s="28"/>
      <c r="F45" s="28"/>
      <c r="G45" s="137" t="str">
        <f>IF(ENCAISSEMENTS!D20&gt;250,737.76,IF(ENCAISSEMENTS!D20&gt;36,447.78,IF(ENCAISSEMENTS!D20&gt;0,33.6,"")))</f>
        <v/>
      </c>
      <c r="H45" s="137" t="str">
        <f>IF(ENCAISSEMENTS!D20&gt;100,3.206*ENCAISSEMENTS!D20,"")</f>
        <v/>
      </c>
      <c r="I45" s="32"/>
      <c r="J45" s="32"/>
      <c r="K45" s="32"/>
      <c r="L45" s="91">
        <f t="shared" si="2"/>
        <v>0</v>
      </c>
      <c r="O45" s="80" t="s">
        <v>106</v>
      </c>
      <c r="P45" s="77" t="s">
        <v>119</v>
      </c>
    </row>
    <row r="46" spans="1:22" ht="15.75" x14ac:dyDescent="0.25">
      <c r="A46" t="str">
        <f>ENCAISSEMENTS!A21</f>
        <v>non</v>
      </c>
      <c r="B46" s="1" t="str">
        <f t="shared" si="1"/>
        <v>INSTALL 11</v>
      </c>
      <c r="C46" s="13">
        <f>ENCAISSEMENTS!C21</f>
        <v>0</v>
      </c>
      <c r="D46" s="28"/>
      <c r="E46" s="28"/>
      <c r="F46" s="28"/>
      <c r="G46" s="137" t="str">
        <f>IF(ENCAISSEMENTS!D21&gt;250,737.76,IF(ENCAISSEMENTS!D21&gt;36,447.78,IF(ENCAISSEMENTS!D21&gt;0,33.6,"")))</f>
        <v/>
      </c>
      <c r="H46" s="137" t="str">
        <f>IF(ENCAISSEMENTS!D21&gt;100,3.206*ENCAISSEMENTS!D21,"")</f>
        <v/>
      </c>
      <c r="I46" s="32"/>
      <c r="J46" s="32"/>
      <c r="K46" s="32"/>
      <c r="L46" s="91">
        <f t="shared" si="2"/>
        <v>0</v>
      </c>
      <c r="O46" s="81"/>
      <c r="P46" s="78" t="s">
        <v>233</v>
      </c>
    </row>
    <row r="47" spans="1:22" ht="15.75" x14ac:dyDescent="0.25">
      <c r="A47" t="str">
        <f>ENCAISSEMENTS!A22</f>
        <v>non</v>
      </c>
      <c r="B47" s="1" t="str">
        <f t="shared" si="1"/>
        <v>INSTALL 12</v>
      </c>
      <c r="C47" s="13">
        <f>ENCAISSEMENTS!C22</f>
        <v>0</v>
      </c>
      <c r="D47" s="28"/>
      <c r="E47" s="28"/>
      <c r="F47" s="28"/>
      <c r="G47" s="137" t="str">
        <f>IF(ENCAISSEMENTS!D22&gt;250,737.76,IF(ENCAISSEMENTS!D22&gt;36,447.78,IF(ENCAISSEMENTS!D22&gt;0,33.6,"")))</f>
        <v/>
      </c>
      <c r="H47" s="137" t="str">
        <f>IF(ENCAISSEMENTS!D22&gt;100,3.206*ENCAISSEMENTS!D22,"")</f>
        <v/>
      </c>
      <c r="I47" s="32"/>
      <c r="J47" s="32"/>
      <c r="K47" s="32"/>
      <c r="L47" s="91">
        <f t="shared" si="2"/>
        <v>0</v>
      </c>
      <c r="O47" s="80" t="s">
        <v>36</v>
      </c>
      <c r="P47" s="77" t="s">
        <v>110</v>
      </c>
    </row>
    <row r="48" spans="1:22" ht="15.75" x14ac:dyDescent="0.25">
      <c r="A48" t="str">
        <f>ENCAISSEMENTS!A23</f>
        <v>non</v>
      </c>
      <c r="B48" s="1" t="str">
        <f t="shared" si="1"/>
        <v>INSTALL 13</v>
      </c>
      <c r="C48" s="13">
        <f>ENCAISSEMENTS!C23</f>
        <v>0</v>
      </c>
      <c r="D48" s="28"/>
      <c r="E48" s="28"/>
      <c r="F48" s="28"/>
      <c r="G48" s="137" t="str">
        <f>IF(ENCAISSEMENTS!D23&gt;250,737.76,IF(ENCAISSEMENTS!D23&gt;36,447.78,IF(ENCAISSEMENTS!D23&gt;0,33.6,"")))</f>
        <v/>
      </c>
      <c r="H48" s="137" t="str">
        <f>IF(ENCAISSEMENTS!D23&gt;100,3.206*ENCAISSEMENTS!D23,"")</f>
        <v/>
      </c>
      <c r="I48" s="32"/>
      <c r="J48" s="32"/>
      <c r="K48" s="32"/>
      <c r="L48" s="91">
        <f t="shared" si="2"/>
        <v>0</v>
      </c>
      <c r="O48" s="81"/>
      <c r="P48" s="78" t="s">
        <v>178</v>
      </c>
    </row>
    <row r="49" spans="1:17" ht="15.75" x14ac:dyDescent="0.25">
      <c r="A49" t="str">
        <f>ENCAISSEMENTS!A24</f>
        <v>non</v>
      </c>
      <c r="B49" s="1" t="str">
        <f t="shared" si="1"/>
        <v>INSTALL 14</v>
      </c>
      <c r="C49" s="13">
        <f>ENCAISSEMENTS!C24</f>
        <v>0</v>
      </c>
      <c r="D49" s="28"/>
      <c r="E49" s="28"/>
      <c r="F49" s="28"/>
      <c r="G49" s="137" t="str">
        <f>IF(ENCAISSEMENTS!D24&gt;250,737.76,IF(ENCAISSEMENTS!D24&gt;36,447.78,IF(ENCAISSEMENTS!D24&gt;0,33.6,"")))</f>
        <v/>
      </c>
      <c r="H49" s="137" t="str">
        <f>IF(ENCAISSEMENTS!D24&gt;100,3.206*ENCAISSEMENTS!D24,"")</f>
        <v/>
      </c>
      <c r="I49" s="32"/>
      <c r="J49" s="32"/>
      <c r="K49" s="32"/>
      <c r="L49" s="91">
        <f t="shared" si="2"/>
        <v>0</v>
      </c>
      <c r="O49" s="80" t="s">
        <v>151</v>
      </c>
      <c r="P49" s="77" t="s">
        <v>235</v>
      </c>
    </row>
    <row r="50" spans="1:17" ht="15.75" x14ac:dyDescent="0.25">
      <c r="A50" t="str">
        <f>ENCAISSEMENTS!A25</f>
        <v>non</v>
      </c>
      <c r="B50" s="1" t="str">
        <f t="shared" si="1"/>
        <v>INSTALL 15</v>
      </c>
      <c r="C50" s="13">
        <f>ENCAISSEMENTS!C25</f>
        <v>0</v>
      </c>
      <c r="D50" s="28"/>
      <c r="E50" s="28"/>
      <c r="F50" s="28"/>
      <c r="G50" s="137" t="str">
        <f>IF(ENCAISSEMENTS!D25&gt;250,737.76,IF(ENCAISSEMENTS!D25&gt;36,447.78,IF(ENCAISSEMENTS!D25&gt;0,33.6,"")))</f>
        <v/>
      </c>
      <c r="H50" s="137" t="str">
        <f>IF(ENCAISSEMENTS!D25&gt;100,3.206*ENCAISSEMENTS!D25,"")</f>
        <v/>
      </c>
      <c r="I50" s="32"/>
      <c r="J50" s="32"/>
      <c r="K50" s="32"/>
      <c r="L50" s="91">
        <f t="shared" si="2"/>
        <v>0</v>
      </c>
      <c r="O50" s="81"/>
      <c r="P50" s="78" t="s">
        <v>234</v>
      </c>
    </row>
    <row r="51" spans="1:17" ht="15.75" x14ac:dyDescent="0.25">
      <c r="A51" t="str">
        <f>ENCAISSEMENTS!A26</f>
        <v>non</v>
      </c>
      <c r="B51" s="1" t="str">
        <f t="shared" si="1"/>
        <v>INSTALL 16</v>
      </c>
      <c r="C51" s="13">
        <f>ENCAISSEMENTS!C26</f>
        <v>0</v>
      </c>
      <c r="D51" s="28"/>
      <c r="E51" s="28"/>
      <c r="F51" s="28"/>
      <c r="G51" s="137" t="str">
        <f>IF(ENCAISSEMENTS!D26&gt;250,737.76,IF(ENCAISSEMENTS!D26&gt;36,447.78,IF(ENCAISSEMENTS!D26&gt;0,33.6,"")))</f>
        <v/>
      </c>
      <c r="H51" s="137" t="str">
        <f>IF(ENCAISSEMENTS!D26&gt;100,3.206*ENCAISSEMENTS!D26,"")</f>
        <v/>
      </c>
      <c r="I51" s="32"/>
      <c r="J51" s="32"/>
      <c r="K51" s="32"/>
      <c r="L51" s="91">
        <f t="shared" si="2"/>
        <v>0</v>
      </c>
      <c r="O51" s="80" t="s">
        <v>160</v>
      </c>
      <c r="P51" s="77" t="s">
        <v>161</v>
      </c>
    </row>
    <row r="52" spans="1:17" ht="15.75" x14ac:dyDescent="0.25">
      <c r="A52" t="str">
        <f>ENCAISSEMENTS!A27</f>
        <v>non</v>
      </c>
      <c r="B52" s="1" t="str">
        <f t="shared" si="1"/>
        <v>INSTALL 17</v>
      </c>
      <c r="C52" s="13">
        <f>ENCAISSEMENTS!C27</f>
        <v>0</v>
      </c>
      <c r="D52" s="28"/>
      <c r="E52" s="28"/>
      <c r="F52" s="28"/>
      <c r="G52" s="137" t="str">
        <f>IF(ENCAISSEMENTS!D27&gt;250,737.76,IF(ENCAISSEMENTS!D27&gt;36,447.78,IF(ENCAISSEMENTS!D27&gt;0,33.6,"")))</f>
        <v/>
      </c>
      <c r="H52" s="137" t="str">
        <f>IF(ENCAISSEMENTS!D27&gt;100,3.206*ENCAISSEMENTS!D27,"")</f>
        <v/>
      </c>
      <c r="I52" s="32"/>
      <c r="J52" s="32"/>
      <c r="K52" s="32"/>
      <c r="L52" s="91">
        <f t="shared" si="2"/>
        <v>0</v>
      </c>
      <c r="O52" s="81"/>
      <c r="P52" s="78" t="s">
        <v>162</v>
      </c>
    </row>
    <row r="53" spans="1:17" ht="15.75" x14ac:dyDescent="0.25">
      <c r="A53" t="str">
        <f>ENCAISSEMENTS!A28</f>
        <v>non</v>
      </c>
      <c r="B53" s="1" t="str">
        <f t="shared" si="1"/>
        <v>INSTALL 18</v>
      </c>
      <c r="C53" s="13">
        <f>ENCAISSEMENTS!C28</f>
        <v>0</v>
      </c>
      <c r="D53" s="28"/>
      <c r="E53" s="28"/>
      <c r="F53" s="28"/>
      <c r="G53" s="137" t="str">
        <f>IF(ENCAISSEMENTS!D28&gt;250,737.76,IF(ENCAISSEMENTS!D28&gt;36,447.78,IF(ENCAISSEMENTS!D28&gt;0,33.6,"")))</f>
        <v/>
      </c>
      <c r="H53" s="137" t="str">
        <f>IF(ENCAISSEMENTS!D28&gt;100,3.206*ENCAISSEMENTS!D28,"")</f>
        <v/>
      </c>
      <c r="I53" s="32"/>
      <c r="J53" s="32"/>
      <c r="K53" s="32"/>
      <c r="L53" s="91">
        <f t="shared" si="2"/>
        <v>0</v>
      </c>
      <c r="O53" s="80" t="s">
        <v>163</v>
      </c>
      <c r="P53" s="77" t="s">
        <v>164</v>
      </c>
    </row>
    <row r="54" spans="1:17" ht="15.75" x14ac:dyDescent="0.25">
      <c r="A54" t="str">
        <f>ENCAISSEMENTS!A29</f>
        <v>non</v>
      </c>
      <c r="B54" s="1" t="str">
        <f t="shared" si="1"/>
        <v>INSTALL 19</v>
      </c>
      <c r="C54" s="13">
        <f>ENCAISSEMENTS!C29</f>
        <v>0</v>
      </c>
      <c r="D54" s="28"/>
      <c r="E54" s="28"/>
      <c r="F54" s="28"/>
      <c r="G54" s="137" t="str">
        <f>IF(ENCAISSEMENTS!D29&gt;250,737.76,IF(ENCAISSEMENTS!D29&gt;36,447.78,IF(ENCAISSEMENTS!D29&gt;0,33.6,"")))</f>
        <v/>
      </c>
      <c r="H54" s="137" t="str">
        <f>IF(ENCAISSEMENTS!D29&gt;100,3.206*ENCAISSEMENTS!D29,"")</f>
        <v/>
      </c>
      <c r="I54" s="32"/>
      <c r="J54" s="32"/>
      <c r="K54" s="32"/>
      <c r="L54" s="91">
        <f t="shared" si="2"/>
        <v>0</v>
      </c>
      <c r="O54" s="81"/>
      <c r="P54" s="78" t="s">
        <v>165</v>
      </c>
    </row>
    <row r="55" spans="1:17" ht="16.5" thickBot="1" x14ac:dyDescent="0.3">
      <c r="A55" t="str">
        <f>ENCAISSEMENTS!A30</f>
        <v>non</v>
      </c>
      <c r="B55" s="1" t="str">
        <f t="shared" si="1"/>
        <v>INSTALL 20</v>
      </c>
      <c r="C55" s="13">
        <f>ENCAISSEMENTS!C30</f>
        <v>0</v>
      </c>
      <c r="D55" s="28"/>
      <c r="E55" s="28"/>
      <c r="F55" s="28"/>
      <c r="G55" s="137" t="str">
        <f>IF(ENCAISSEMENTS!D30&gt;250,737.76,IF(ENCAISSEMENTS!D30&gt;36,447.78,IF(ENCAISSEMENTS!D30&gt;0,33.6,"")))</f>
        <v/>
      </c>
      <c r="H55" s="137" t="str">
        <f>IF(ENCAISSEMENTS!D30&gt;100,3.206*ENCAISSEMENTS!D30,"")</f>
        <v/>
      </c>
      <c r="I55" s="32"/>
      <c r="J55" s="32"/>
      <c r="K55" s="32"/>
      <c r="L55" s="91">
        <f>SUM(D55:J55)</f>
        <v>0</v>
      </c>
      <c r="O55" s="80" t="s">
        <v>201</v>
      </c>
      <c r="P55" s="77" t="s">
        <v>202</v>
      </c>
    </row>
    <row r="56" spans="1:17" ht="19.5" thickBot="1" x14ac:dyDescent="0.35">
      <c r="A56" s="204" t="s">
        <v>124</v>
      </c>
      <c r="B56" s="205"/>
      <c r="C56" s="119">
        <f>SUMPRODUCT(C36:C55,ENCAISSEMENTS!$Y$11:$Y$30)</f>
        <v>0</v>
      </c>
      <c r="D56" s="119">
        <f>SUMPRODUCT(D36:D55,ENCAISSEMENTS!$Y$11:$Y$30)</f>
        <v>0</v>
      </c>
      <c r="E56" s="119">
        <f>SUMPRODUCT(E36:E55,ENCAISSEMENTS!$Y$11:$Y$30)</f>
        <v>0</v>
      </c>
      <c r="F56" s="119">
        <f>SUMPRODUCT(F36:F55,ENCAISSEMENTS!$Y$11:$Y$30)</f>
        <v>0</v>
      </c>
      <c r="G56" s="119">
        <f>SUMPRODUCT(G36:G55,ENCAISSEMENTS!$Y$11:$Y$30)</f>
        <v>0</v>
      </c>
      <c r="H56" s="119">
        <f>SUMPRODUCT(H36:H55,ENCAISSEMENTS!$Y$11:$Y$30)</f>
        <v>0</v>
      </c>
      <c r="I56" s="119">
        <f>SUMPRODUCT(I36:I55,ENCAISSEMENTS!$Y$11:$Y$30)</f>
        <v>0</v>
      </c>
      <c r="J56" s="119">
        <f>SUMPRODUCT(J36:J55,ENCAISSEMENTS!$Y$11:$Y$30)</f>
        <v>0</v>
      </c>
      <c r="K56" s="119">
        <f>SUMPRODUCT(K36:K55,ENCAISSEMENTS!$Y$11:$Y$30)</f>
        <v>0</v>
      </c>
      <c r="L56" s="122">
        <f>SUM(D56:K56)</f>
        <v>0</v>
      </c>
      <c r="O56" s="81"/>
      <c r="P56" s="78" t="s">
        <v>220</v>
      </c>
    </row>
    <row r="57" spans="1:17" x14ac:dyDescent="0.25">
      <c r="Q57" s="81"/>
    </row>
    <row r="58" spans="1:17" ht="26.25" x14ac:dyDescent="0.4">
      <c r="B58" s="203" t="s">
        <v>138</v>
      </c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</row>
    <row r="60" spans="1:17" x14ac:dyDescent="0.25">
      <c r="B60" s="1" t="s">
        <v>51</v>
      </c>
      <c r="C60" s="1" t="s">
        <v>95</v>
      </c>
      <c r="D60" s="12"/>
      <c r="E60" s="27"/>
      <c r="G60" t="s">
        <v>121</v>
      </c>
    </row>
    <row r="61" spans="1:17" x14ac:dyDescent="0.25">
      <c r="B61" s="1" t="s">
        <v>51</v>
      </c>
      <c r="C61" s="1" t="s">
        <v>39</v>
      </c>
      <c r="D61" s="12"/>
      <c r="E61" s="27"/>
      <c r="G61" t="s">
        <v>120</v>
      </c>
    </row>
    <row r="62" spans="1:17" x14ac:dyDescent="0.25">
      <c r="B62" s="1" t="s">
        <v>52</v>
      </c>
      <c r="C62" s="1" t="s">
        <v>50</v>
      </c>
      <c r="D62" s="12"/>
      <c r="E62" s="27"/>
      <c r="G62" t="s">
        <v>174</v>
      </c>
    </row>
    <row r="63" spans="1:17" x14ac:dyDescent="0.25">
      <c r="B63" s="1" t="s">
        <v>140</v>
      </c>
      <c r="C63" s="1" t="s">
        <v>139</v>
      </c>
      <c r="D63" s="12"/>
      <c r="E63" s="27"/>
      <c r="G63" t="s">
        <v>166</v>
      </c>
    </row>
  </sheetData>
  <mergeCells count="7">
    <mergeCell ref="A1:M1"/>
    <mergeCell ref="B58:M58"/>
    <mergeCell ref="B29:M29"/>
    <mergeCell ref="B3:M3"/>
    <mergeCell ref="A56:B56"/>
    <mergeCell ref="A26:B26"/>
    <mergeCell ref="B32:C32"/>
  </mergeCells>
  <phoneticPr fontId="43" type="noConversion"/>
  <conditionalFormatting sqref="A3:A5 A27:A35 A57:A1048576">
    <cfRule type="cellIs" dxfId="11" priority="8" operator="equal">
      <formula>"oui"</formula>
    </cfRule>
  </conditionalFormatting>
  <conditionalFormatting sqref="A6:A25">
    <cfRule type="cellIs" dxfId="10" priority="3" operator="equal">
      <formula>"NON"</formula>
    </cfRule>
    <cfRule type="cellIs" dxfId="9" priority="4" operator="equal">
      <formula>"Oui"</formula>
    </cfRule>
  </conditionalFormatting>
  <conditionalFormatting sqref="A36:A55">
    <cfRule type="cellIs" dxfId="8" priority="1" operator="equal">
      <formula>"NON"</formula>
    </cfRule>
    <cfRule type="cellIs" dxfId="7" priority="2" operator="equal">
      <formula>"Oui"</formula>
    </cfRule>
  </conditionalFormatting>
  <printOptions horizontalCentered="1" verticalCentered="1"/>
  <pageMargins left="0.47244094488188981" right="0.39370078740157483" top="0.74803149606299213" bottom="0.74803149606299213" header="0.31496062992125984" footer="0.31496062992125984"/>
  <pageSetup paperSize="9" scale="54" fitToWidth="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Y45"/>
  <sheetViews>
    <sheetView showGridLines="0" topLeftCell="A16" zoomScaleNormal="100" workbookViewId="0">
      <selection activeCell="J9" sqref="J9"/>
    </sheetView>
  </sheetViews>
  <sheetFormatPr baseColWidth="10" defaultColWidth="11.5703125" defaultRowHeight="15" x14ac:dyDescent="0.25"/>
  <cols>
    <col min="1" max="1" width="8.85546875" style="16" customWidth="1"/>
    <col min="2" max="2" width="22" customWidth="1"/>
    <col min="3" max="3" width="9.85546875" style="10" customWidth="1"/>
    <col min="4" max="5" width="12.7109375" style="10" customWidth="1"/>
    <col min="6" max="6" width="10.7109375" style="10" customWidth="1"/>
    <col min="7" max="7" width="24.85546875" style="10" customWidth="1"/>
    <col min="8" max="8" width="10.28515625" style="10" customWidth="1"/>
    <col min="9" max="9" width="12.7109375" style="10" customWidth="1"/>
    <col min="10" max="10" width="27.7109375" style="10" customWidth="1"/>
    <col min="11" max="12" width="11.140625" style="10" customWidth="1"/>
    <col min="13" max="13" width="28.140625" style="10" customWidth="1"/>
    <col min="14" max="14" width="10.7109375" style="10" customWidth="1"/>
    <col min="15" max="15" width="13" style="10" customWidth="1"/>
    <col min="16" max="16" width="14.140625" style="10" customWidth="1"/>
    <col min="17" max="17" width="13.85546875" style="10" customWidth="1"/>
    <col min="18" max="18" width="20" style="10" customWidth="1"/>
    <col min="19" max="19" width="16.7109375" style="10" customWidth="1"/>
    <col min="20" max="20" width="14.42578125" customWidth="1"/>
    <col min="21" max="22" width="83.85546875" style="10" customWidth="1"/>
    <col min="24" max="24" width="13.28515625" customWidth="1"/>
    <col min="33" max="33" width="14.7109375" customWidth="1"/>
  </cols>
  <sheetData>
    <row r="1" spans="1:25" ht="26.25" x14ac:dyDescent="0.4">
      <c r="A1" s="209" t="s">
        <v>216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</row>
    <row r="2" spans="1:25" ht="15" customHeight="1" x14ac:dyDescent="0.4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5" ht="15" customHeight="1" x14ac:dyDescent="0.25">
      <c r="A3" s="177" t="s">
        <v>184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1:25" ht="15" customHeight="1" x14ac:dyDescent="0.25">
      <c r="A4" s="177" t="s">
        <v>185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</row>
    <row r="5" spans="1:25" ht="15" customHeight="1" x14ac:dyDescent="0.25">
      <c r="A5" s="177" t="s">
        <v>198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spans="1:25" s="11" customFormat="1" ht="30" customHeight="1" x14ac:dyDescent="0.25">
      <c r="A6" s="211" t="s">
        <v>226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75"/>
      <c r="V6" s="75"/>
    </row>
    <row r="7" spans="1:25" ht="15" customHeight="1" x14ac:dyDescent="0.25">
      <c r="A7" s="177" t="s">
        <v>218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</row>
    <row r="8" spans="1:25" ht="15.75" x14ac:dyDescent="0.25">
      <c r="A8" s="177" t="s">
        <v>189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</row>
    <row r="9" spans="1:25" x14ac:dyDescent="0.25">
      <c r="A9" s="99"/>
    </row>
    <row r="10" spans="1:25" s="86" customFormat="1" ht="63" x14ac:dyDescent="0.25">
      <c r="A10" s="99"/>
      <c r="B10" s="85" t="s">
        <v>90</v>
      </c>
      <c r="C10" s="14" t="s">
        <v>112</v>
      </c>
      <c r="D10" s="14" t="s">
        <v>117</v>
      </c>
      <c r="E10" s="14" t="s">
        <v>126</v>
      </c>
      <c r="F10" s="14" t="s">
        <v>217</v>
      </c>
      <c r="G10" s="14" t="s">
        <v>190</v>
      </c>
      <c r="H10" s="14" t="s">
        <v>195</v>
      </c>
      <c r="I10" s="14" t="s">
        <v>194</v>
      </c>
      <c r="J10" s="14" t="s">
        <v>191</v>
      </c>
      <c r="K10" s="14" t="s">
        <v>196</v>
      </c>
      <c r="L10" s="14" t="s">
        <v>192</v>
      </c>
      <c r="M10" s="14" t="s">
        <v>193</v>
      </c>
      <c r="N10" s="14" t="s">
        <v>197</v>
      </c>
      <c r="O10" s="14" t="s">
        <v>182</v>
      </c>
      <c r="P10" s="14" t="s">
        <v>181</v>
      </c>
      <c r="Q10" s="14" t="s">
        <v>180</v>
      </c>
      <c r="R10" s="14" t="s">
        <v>188</v>
      </c>
      <c r="S10" s="14" t="s">
        <v>186</v>
      </c>
      <c r="T10" s="14" t="s">
        <v>187</v>
      </c>
      <c r="V10" s="88"/>
      <c r="W10" s="11"/>
      <c r="X10" t="s">
        <v>123</v>
      </c>
      <c r="Y10" s="124" t="s">
        <v>137</v>
      </c>
    </row>
    <row r="11" spans="1:25" ht="15.75" x14ac:dyDescent="0.25">
      <c r="A11" t="s">
        <v>123</v>
      </c>
      <c r="B11" s="178" t="str">
        <f>DECAISSEMENTS!B6</f>
        <v>INSTALL 1</v>
      </c>
      <c r="C11" s="28"/>
      <c r="D11" s="28"/>
      <c r="E11" s="28"/>
      <c r="F11" s="14" t="str">
        <f>IF(D11="","",E11/D11)</f>
        <v/>
      </c>
      <c r="G11" s="29"/>
      <c r="H11" s="29">
        <v>13</v>
      </c>
      <c r="I11" s="151">
        <v>1.4999999999999999E-2</v>
      </c>
      <c r="J11" s="29"/>
      <c r="K11" s="29">
        <v>9</v>
      </c>
      <c r="L11" s="151">
        <v>1.4999999999999999E-2</v>
      </c>
      <c r="M11" s="29"/>
      <c r="N11" s="29">
        <v>15</v>
      </c>
      <c r="O11" s="151">
        <v>1.4999999999999999E-2</v>
      </c>
      <c r="P11" s="140">
        <f>E11-G11-J11-M11</f>
        <v>0</v>
      </c>
      <c r="Q11" s="29"/>
      <c r="R11" s="22">
        <f>(G11*H11+J11*K11+M11*N11)/100</f>
        <v>0</v>
      </c>
      <c r="S11" s="22">
        <f>P11*Q11/100</f>
        <v>0</v>
      </c>
      <c r="T11" s="22">
        <f>SUM(R11:S11)</f>
        <v>0</v>
      </c>
      <c r="V11" s="100"/>
      <c r="X11" t="s">
        <v>122</v>
      </c>
      <c r="Y11" s="123">
        <f t="shared" ref="Y11:Y30" si="0">IF(A11="oui",1,0)</f>
        <v>1</v>
      </c>
    </row>
    <row r="12" spans="1:25" ht="15.75" x14ac:dyDescent="0.25">
      <c r="A12" t="s">
        <v>123</v>
      </c>
      <c r="B12" s="178" t="str">
        <f>DECAISSEMENTS!B7</f>
        <v>INSTALL 2</v>
      </c>
      <c r="C12" s="28"/>
      <c r="D12" s="28"/>
      <c r="E12" s="28"/>
      <c r="F12" s="14" t="str">
        <f t="shared" ref="F12:F30" si="1">IF(D12="","",E12/D12)</f>
        <v/>
      </c>
      <c r="G12" s="29"/>
      <c r="H12" s="140">
        <f>$H$11</f>
        <v>13</v>
      </c>
      <c r="I12" s="152">
        <f>$I$11</f>
        <v>1.4999999999999999E-2</v>
      </c>
      <c r="J12" s="29"/>
      <c r="K12" s="140">
        <f>$K$11</f>
        <v>9</v>
      </c>
      <c r="L12" s="152">
        <f>$L$11</f>
        <v>1.4999999999999999E-2</v>
      </c>
      <c r="M12" s="29"/>
      <c r="N12" s="140">
        <f>$N$11</f>
        <v>15</v>
      </c>
      <c r="O12" s="152">
        <f>$O$11</f>
        <v>1.4999999999999999E-2</v>
      </c>
      <c r="P12" s="140">
        <f>E12-G12-J12-M12</f>
        <v>0</v>
      </c>
      <c r="Q12" s="29"/>
      <c r="R12" s="22">
        <f t="shared" ref="R12:R30" si="2">(G12*H12+J12*K12+M12*N12)/100</f>
        <v>0</v>
      </c>
      <c r="S12" s="22">
        <f t="shared" ref="S12:S30" si="3">P12*Q12/100</f>
        <v>0</v>
      </c>
      <c r="T12" s="22">
        <f t="shared" ref="T12:T30" si="4">SUM(R12:S12)</f>
        <v>0</v>
      </c>
      <c r="Y12" s="123">
        <f t="shared" si="0"/>
        <v>1</v>
      </c>
    </row>
    <row r="13" spans="1:25" ht="15.75" x14ac:dyDescent="0.25">
      <c r="A13" t="s">
        <v>123</v>
      </c>
      <c r="B13" s="178" t="str">
        <f>DECAISSEMENTS!B8</f>
        <v>INSTALL 3</v>
      </c>
      <c r="C13" s="28"/>
      <c r="D13" s="28"/>
      <c r="E13" s="28"/>
      <c r="F13" s="14" t="str">
        <f t="shared" si="1"/>
        <v/>
      </c>
      <c r="G13" s="29"/>
      <c r="H13" s="140">
        <f t="shared" ref="H13:H30" si="5">$H$11</f>
        <v>13</v>
      </c>
      <c r="I13" s="152">
        <f t="shared" ref="I13:I30" si="6">$I$11</f>
        <v>1.4999999999999999E-2</v>
      </c>
      <c r="J13" s="29"/>
      <c r="K13" s="140">
        <f t="shared" ref="K13:K30" si="7">$K$11</f>
        <v>9</v>
      </c>
      <c r="L13" s="152">
        <f t="shared" ref="L13:L30" si="8">$L$11</f>
        <v>1.4999999999999999E-2</v>
      </c>
      <c r="M13" s="29"/>
      <c r="N13" s="140">
        <f t="shared" ref="N13:N30" si="9">$N$11</f>
        <v>15</v>
      </c>
      <c r="O13" s="152">
        <f t="shared" ref="O13:O30" si="10">$O$11</f>
        <v>1.4999999999999999E-2</v>
      </c>
      <c r="P13" s="140">
        <f t="shared" ref="P13:P30" si="11">E13-G13-J13-M13</f>
        <v>0</v>
      </c>
      <c r="Q13" s="29"/>
      <c r="R13" s="22">
        <f t="shared" si="2"/>
        <v>0</v>
      </c>
      <c r="S13" s="22">
        <f t="shared" si="3"/>
        <v>0</v>
      </c>
      <c r="T13" s="22">
        <f t="shared" si="4"/>
        <v>0</v>
      </c>
      <c r="V13" s="101"/>
      <c r="Y13" s="123">
        <f t="shared" si="0"/>
        <v>1</v>
      </c>
    </row>
    <row r="14" spans="1:25" ht="15.75" x14ac:dyDescent="0.25">
      <c r="A14" t="s">
        <v>123</v>
      </c>
      <c r="B14" s="178" t="str">
        <f>DECAISSEMENTS!B9</f>
        <v>INSTALL 4</v>
      </c>
      <c r="C14" s="28"/>
      <c r="D14" s="28"/>
      <c r="E14" s="28"/>
      <c r="F14" s="14" t="str">
        <f t="shared" si="1"/>
        <v/>
      </c>
      <c r="G14" s="29"/>
      <c r="H14" s="140">
        <f t="shared" si="5"/>
        <v>13</v>
      </c>
      <c r="I14" s="152">
        <f t="shared" si="6"/>
        <v>1.4999999999999999E-2</v>
      </c>
      <c r="J14" s="29"/>
      <c r="K14" s="140">
        <f t="shared" si="7"/>
        <v>9</v>
      </c>
      <c r="L14" s="152">
        <f t="shared" si="8"/>
        <v>1.4999999999999999E-2</v>
      </c>
      <c r="M14" s="29"/>
      <c r="N14" s="140">
        <f t="shared" si="9"/>
        <v>15</v>
      </c>
      <c r="O14" s="152">
        <f t="shared" si="10"/>
        <v>1.4999999999999999E-2</v>
      </c>
      <c r="P14" s="140">
        <f t="shared" si="11"/>
        <v>0</v>
      </c>
      <c r="Q14" s="29"/>
      <c r="R14" s="22">
        <f t="shared" si="2"/>
        <v>0</v>
      </c>
      <c r="S14" s="22">
        <f t="shared" si="3"/>
        <v>0</v>
      </c>
      <c r="T14" s="22">
        <f t="shared" si="4"/>
        <v>0</v>
      </c>
      <c r="V14" s="101"/>
      <c r="Y14" s="123">
        <f t="shared" si="0"/>
        <v>1</v>
      </c>
    </row>
    <row r="15" spans="1:25" ht="15.75" x14ac:dyDescent="0.25">
      <c r="A15" t="s">
        <v>123</v>
      </c>
      <c r="B15" s="178" t="str">
        <f>DECAISSEMENTS!B10</f>
        <v>INSTALL 5</v>
      </c>
      <c r="C15" s="28"/>
      <c r="D15" s="28"/>
      <c r="E15" s="28"/>
      <c r="F15" s="14" t="str">
        <f t="shared" si="1"/>
        <v/>
      </c>
      <c r="G15" s="29"/>
      <c r="H15" s="140">
        <f t="shared" si="5"/>
        <v>13</v>
      </c>
      <c r="I15" s="152">
        <f t="shared" si="6"/>
        <v>1.4999999999999999E-2</v>
      </c>
      <c r="J15" s="29"/>
      <c r="K15" s="140">
        <f t="shared" si="7"/>
        <v>9</v>
      </c>
      <c r="L15" s="152">
        <f t="shared" si="8"/>
        <v>1.4999999999999999E-2</v>
      </c>
      <c r="M15" s="29"/>
      <c r="N15" s="140">
        <f t="shared" si="9"/>
        <v>15</v>
      </c>
      <c r="O15" s="152">
        <f t="shared" si="10"/>
        <v>1.4999999999999999E-2</v>
      </c>
      <c r="P15" s="140">
        <f t="shared" si="11"/>
        <v>0</v>
      </c>
      <c r="Q15" s="29"/>
      <c r="R15" s="22">
        <f t="shared" si="2"/>
        <v>0</v>
      </c>
      <c r="S15" s="22">
        <f t="shared" si="3"/>
        <v>0</v>
      </c>
      <c r="T15" s="22">
        <f t="shared" si="4"/>
        <v>0</v>
      </c>
      <c r="V15" s="100"/>
      <c r="Y15" s="123">
        <f t="shared" si="0"/>
        <v>1</v>
      </c>
    </row>
    <row r="16" spans="1:25" ht="15.75" x14ac:dyDescent="0.25">
      <c r="A16" t="s">
        <v>123</v>
      </c>
      <c r="B16" s="178" t="str">
        <f>DECAISSEMENTS!B11</f>
        <v>INSTALL 6</v>
      </c>
      <c r="C16" s="28"/>
      <c r="D16" s="28"/>
      <c r="E16" s="28"/>
      <c r="F16" s="14" t="str">
        <f t="shared" si="1"/>
        <v/>
      </c>
      <c r="G16" s="29"/>
      <c r="H16" s="140">
        <f t="shared" si="5"/>
        <v>13</v>
      </c>
      <c r="I16" s="152">
        <f t="shared" si="6"/>
        <v>1.4999999999999999E-2</v>
      </c>
      <c r="J16" s="29"/>
      <c r="K16" s="140">
        <f t="shared" si="7"/>
        <v>9</v>
      </c>
      <c r="L16" s="152">
        <f t="shared" si="8"/>
        <v>1.4999999999999999E-2</v>
      </c>
      <c r="M16" s="29"/>
      <c r="N16" s="140">
        <f t="shared" si="9"/>
        <v>15</v>
      </c>
      <c r="O16" s="152">
        <f t="shared" si="10"/>
        <v>1.4999999999999999E-2</v>
      </c>
      <c r="P16" s="140">
        <f t="shared" si="11"/>
        <v>0</v>
      </c>
      <c r="Q16" s="29"/>
      <c r="R16" s="22">
        <f t="shared" si="2"/>
        <v>0</v>
      </c>
      <c r="S16" s="22">
        <f t="shared" si="3"/>
        <v>0</v>
      </c>
      <c r="T16" s="22">
        <f t="shared" si="4"/>
        <v>0</v>
      </c>
      <c r="Y16" s="123">
        <f t="shared" si="0"/>
        <v>1</v>
      </c>
    </row>
    <row r="17" spans="1:25" ht="15.75" x14ac:dyDescent="0.25">
      <c r="A17" t="s">
        <v>123</v>
      </c>
      <c r="B17" s="178" t="str">
        <f>DECAISSEMENTS!B12</f>
        <v>INSTALL 7</v>
      </c>
      <c r="C17" s="28"/>
      <c r="D17" s="28"/>
      <c r="E17" s="28"/>
      <c r="F17" s="14" t="str">
        <f t="shared" si="1"/>
        <v/>
      </c>
      <c r="G17" s="29"/>
      <c r="H17" s="140">
        <f t="shared" si="5"/>
        <v>13</v>
      </c>
      <c r="I17" s="152">
        <f t="shared" si="6"/>
        <v>1.4999999999999999E-2</v>
      </c>
      <c r="J17" s="29"/>
      <c r="K17" s="140">
        <f t="shared" si="7"/>
        <v>9</v>
      </c>
      <c r="L17" s="152">
        <f t="shared" si="8"/>
        <v>1.4999999999999999E-2</v>
      </c>
      <c r="M17" s="29"/>
      <c r="N17" s="140">
        <f t="shared" si="9"/>
        <v>15</v>
      </c>
      <c r="O17" s="152">
        <f t="shared" si="10"/>
        <v>1.4999999999999999E-2</v>
      </c>
      <c r="P17" s="140">
        <f t="shared" si="11"/>
        <v>0</v>
      </c>
      <c r="Q17" s="29"/>
      <c r="R17" s="22">
        <f t="shared" si="2"/>
        <v>0</v>
      </c>
      <c r="S17" s="22">
        <f t="shared" si="3"/>
        <v>0</v>
      </c>
      <c r="T17" s="22">
        <f t="shared" si="4"/>
        <v>0</v>
      </c>
      <c r="V17" s="102"/>
      <c r="Y17" s="123">
        <f t="shared" si="0"/>
        <v>1</v>
      </c>
    </row>
    <row r="18" spans="1:25" ht="15.75" x14ac:dyDescent="0.25">
      <c r="A18" t="s">
        <v>123</v>
      </c>
      <c r="B18" s="178" t="str">
        <f>DECAISSEMENTS!B13</f>
        <v>INSTALL 8</v>
      </c>
      <c r="C18" s="28"/>
      <c r="D18" s="28"/>
      <c r="E18" s="28"/>
      <c r="F18" s="14" t="str">
        <f t="shared" si="1"/>
        <v/>
      </c>
      <c r="G18" s="29"/>
      <c r="H18" s="140">
        <f t="shared" si="5"/>
        <v>13</v>
      </c>
      <c r="I18" s="152">
        <f t="shared" si="6"/>
        <v>1.4999999999999999E-2</v>
      </c>
      <c r="J18" s="29"/>
      <c r="K18" s="140">
        <f t="shared" si="7"/>
        <v>9</v>
      </c>
      <c r="L18" s="152">
        <f t="shared" si="8"/>
        <v>1.4999999999999999E-2</v>
      </c>
      <c r="M18" s="29"/>
      <c r="N18" s="140">
        <f t="shared" si="9"/>
        <v>15</v>
      </c>
      <c r="O18" s="152">
        <f t="shared" si="10"/>
        <v>1.4999999999999999E-2</v>
      </c>
      <c r="P18" s="140">
        <f t="shared" si="11"/>
        <v>0</v>
      </c>
      <c r="Q18" s="29"/>
      <c r="R18" s="22">
        <f t="shared" si="2"/>
        <v>0</v>
      </c>
      <c r="S18" s="22">
        <f t="shared" si="3"/>
        <v>0</v>
      </c>
      <c r="T18" s="22">
        <f t="shared" si="4"/>
        <v>0</v>
      </c>
      <c r="V18" s="102"/>
      <c r="Y18" s="123">
        <f t="shared" si="0"/>
        <v>1</v>
      </c>
    </row>
    <row r="19" spans="1:25" ht="15.75" x14ac:dyDescent="0.25">
      <c r="A19" t="s">
        <v>123</v>
      </c>
      <c r="B19" s="178" t="str">
        <f>DECAISSEMENTS!B14</f>
        <v>INSTALL 9</v>
      </c>
      <c r="C19" s="28"/>
      <c r="D19" s="28"/>
      <c r="E19" s="28"/>
      <c r="F19" s="14" t="str">
        <f t="shared" si="1"/>
        <v/>
      </c>
      <c r="G19" s="29"/>
      <c r="H19" s="140">
        <f t="shared" si="5"/>
        <v>13</v>
      </c>
      <c r="I19" s="152">
        <f t="shared" si="6"/>
        <v>1.4999999999999999E-2</v>
      </c>
      <c r="J19" s="29"/>
      <c r="K19" s="140">
        <f t="shared" si="7"/>
        <v>9</v>
      </c>
      <c r="L19" s="152">
        <f t="shared" si="8"/>
        <v>1.4999999999999999E-2</v>
      </c>
      <c r="M19" s="29"/>
      <c r="N19" s="140">
        <f t="shared" si="9"/>
        <v>15</v>
      </c>
      <c r="O19" s="152">
        <f t="shared" si="10"/>
        <v>1.4999999999999999E-2</v>
      </c>
      <c r="P19" s="140">
        <f t="shared" si="11"/>
        <v>0</v>
      </c>
      <c r="Q19" s="29"/>
      <c r="R19" s="22">
        <f t="shared" si="2"/>
        <v>0</v>
      </c>
      <c r="S19" s="22">
        <f t="shared" si="3"/>
        <v>0</v>
      </c>
      <c r="T19" s="22">
        <f t="shared" si="4"/>
        <v>0</v>
      </c>
      <c r="V19" s="100"/>
      <c r="Y19" s="123">
        <f t="shared" si="0"/>
        <v>1</v>
      </c>
    </row>
    <row r="20" spans="1:25" ht="15.75" x14ac:dyDescent="0.25">
      <c r="A20" t="s">
        <v>122</v>
      </c>
      <c r="B20" s="178" t="str">
        <f>DECAISSEMENTS!B15</f>
        <v>INSTALL 10</v>
      </c>
      <c r="C20" s="28"/>
      <c r="D20" s="28"/>
      <c r="E20" s="28"/>
      <c r="F20" s="14" t="str">
        <f t="shared" si="1"/>
        <v/>
      </c>
      <c r="G20" s="29"/>
      <c r="H20" s="140">
        <f t="shared" si="5"/>
        <v>13</v>
      </c>
      <c r="I20" s="152">
        <f t="shared" si="6"/>
        <v>1.4999999999999999E-2</v>
      </c>
      <c r="J20" s="29"/>
      <c r="K20" s="140">
        <f t="shared" si="7"/>
        <v>9</v>
      </c>
      <c r="L20" s="152">
        <f t="shared" si="8"/>
        <v>1.4999999999999999E-2</v>
      </c>
      <c r="M20" s="29"/>
      <c r="N20" s="140">
        <f t="shared" si="9"/>
        <v>15</v>
      </c>
      <c r="O20" s="152">
        <f t="shared" si="10"/>
        <v>1.4999999999999999E-2</v>
      </c>
      <c r="P20" s="140">
        <f t="shared" si="11"/>
        <v>0</v>
      </c>
      <c r="Q20" s="29"/>
      <c r="R20" s="22">
        <f t="shared" si="2"/>
        <v>0</v>
      </c>
      <c r="S20" s="22">
        <f t="shared" si="3"/>
        <v>0</v>
      </c>
      <c r="T20" s="22">
        <f t="shared" si="4"/>
        <v>0</v>
      </c>
      <c r="V20" s="103"/>
      <c r="Y20" s="123">
        <f t="shared" si="0"/>
        <v>0</v>
      </c>
    </row>
    <row r="21" spans="1:25" ht="15.75" x14ac:dyDescent="0.25">
      <c r="A21" t="s">
        <v>122</v>
      </c>
      <c r="B21" s="178" t="str">
        <f>DECAISSEMENTS!B16</f>
        <v>INSTALL 11</v>
      </c>
      <c r="C21" s="28"/>
      <c r="D21" s="28"/>
      <c r="E21" s="28"/>
      <c r="F21" s="14" t="str">
        <f t="shared" si="1"/>
        <v/>
      </c>
      <c r="G21" s="29"/>
      <c r="H21" s="140">
        <f t="shared" si="5"/>
        <v>13</v>
      </c>
      <c r="I21" s="152">
        <f t="shared" si="6"/>
        <v>1.4999999999999999E-2</v>
      </c>
      <c r="J21" s="29"/>
      <c r="K21" s="140">
        <f t="shared" si="7"/>
        <v>9</v>
      </c>
      <c r="L21" s="152">
        <f t="shared" si="8"/>
        <v>1.4999999999999999E-2</v>
      </c>
      <c r="M21" s="29"/>
      <c r="N21" s="140">
        <f t="shared" si="9"/>
        <v>15</v>
      </c>
      <c r="O21" s="152">
        <f t="shared" si="10"/>
        <v>1.4999999999999999E-2</v>
      </c>
      <c r="P21" s="140">
        <f t="shared" si="11"/>
        <v>0</v>
      </c>
      <c r="Q21" s="29"/>
      <c r="R21" s="22">
        <f t="shared" si="2"/>
        <v>0</v>
      </c>
      <c r="S21" s="22">
        <f t="shared" si="3"/>
        <v>0</v>
      </c>
      <c r="T21" s="22">
        <f t="shared" si="4"/>
        <v>0</v>
      </c>
      <c r="V21" s="103"/>
      <c r="Y21" s="123">
        <f t="shared" si="0"/>
        <v>0</v>
      </c>
    </row>
    <row r="22" spans="1:25" ht="15.75" x14ac:dyDescent="0.25">
      <c r="A22" t="s">
        <v>122</v>
      </c>
      <c r="B22" s="178" t="str">
        <f>DECAISSEMENTS!B17</f>
        <v>INSTALL 12</v>
      </c>
      <c r="C22" s="28"/>
      <c r="D22" s="28"/>
      <c r="E22" s="28"/>
      <c r="F22" s="14" t="str">
        <f t="shared" si="1"/>
        <v/>
      </c>
      <c r="G22" s="29"/>
      <c r="H22" s="140">
        <f t="shared" si="5"/>
        <v>13</v>
      </c>
      <c r="I22" s="152">
        <f t="shared" si="6"/>
        <v>1.4999999999999999E-2</v>
      </c>
      <c r="J22" s="29"/>
      <c r="K22" s="140">
        <f t="shared" si="7"/>
        <v>9</v>
      </c>
      <c r="L22" s="152">
        <f t="shared" si="8"/>
        <v>1.4999999999999999E-2</v>
      </c>
      <c r="M22" s="29"/>
      <c r="N22" s="140">
        <f t="shared" si="9"/>
        <v>15</v>
      </c>
      <c r="O22" s="152">
        <f t="shared" si="10"/>
        <v>1.4999999999999999E-2</v>
      </c>
      <c r="P22" s="140">
        <f t="shared" si="11"/>
        <v>0</v>
      </c>
      <c r="Q22" s="29"/>
      <c r="R22" s="22">
        <f t="shared" si="2"/>
        <v>0</v>
      </c>
      <c r="S22" s="22">
        <f t="shared" si="3"/>
        <v>0</v>
      </c>
      <c r="T22" s="22">
        <f t="shared" si="4"/>
        <v>0</v>
      </c>
      <c r="Y22" s="123">
        <f t="shared" si="0"/>
        <v>0</v>
      </c>
    </row>
    <row r="23" spans="1:25" ht="15.75" x14ac:dyDescent="0.25">
      <c r="A23" t="s">
        <v>122</v>
      </c>
      <c r="B23" s="178" t="str">
        <f>DECAISSEMENTS!B18</f>
        <v>INSTALL 13</v>
      </c>
      <c r="C23" s="28"/>
      <c r="D23" s="28"/>
      <c r="E23" s="28"/>
      <c r="F23" s="14" t="str">
        <f t="shared" si="1"/>
        <v/>
      </c>
      <c r="G23" s="29"/>
      <c r="H23" s="140">
        <f t="shared" si="5"/>
        <v>13</v>
      </c>
      <c r="I23" s="152">
        <f t="shared" si="6"/>
        <v>1.4999999999999999E-2</v>
      </c>
      <c r="J23" s="29"/>
      <c r="K23" s="140">
        <f t="shared" si="7"/>
        <v>9</v>
      </c>
      <c r="L23" s="152">
        <f t="shared" si="8"/>
        <v>1.4999999999999999E-2</v>
      </c>
      <c r="M23" s="29"/>
      <c r="N23" s="140">
        <f t="shared" si="9"/>
        <v>15</v>
      </c>
      <c r="O23" s="152">
        <f t="shared" si="10"/>
        <v>1.4999999999999999E-2</v>
      </c>
      <c r="P23" s="140">
        <f t="shared" si="11"/>
        <v>0</v>
      </c>
      <c r="Q23" s="29"/>
      <c r="R23" s="22">
        <f t="shared" si="2"/>
        <v>0</v>
      </c>
      <c r="S23" s="22">
        <f t="shared" si="3"/>
        <v>0</v>
      </c>
      <c r="T23" s="22">
        <f t="shared" si="4"/>
        <v>0</v>
      </c>
      <c r="Y23" s="123">
        <f t="shared" si="0"/>
        <v>0</v>
      </c>
    </row>
    <row r="24" spans="1:25" ht="15.75" x14ac:dyDescent="0.25">
      <c r="A24" t="s">
        <v>122</v>
      </c>
      <c r="B24" s="178" t="str">
        <f>DECAISSEMENTS!B19</f>
        <v>INSTALL 14</v>
      </c>
      <c r="C24" s="28"/>
      <c r="D24" s="28"/>
      <c r="E24" s="28"/>
      <c r="F24" s="14" t="str">
        <f t="shared" si="1"/>
        <v/>
      </c>
      <c r="G24" s="29"/>
      <c r="H24" s="140">
        <f t="shared" si="5"/>
        <v>13</v>
      </c>
      <c r="I24" s="152">
        <f t="shared" si="6"/>
        <v>1.4999999999999999E-2</v>
      </c>
      <c r="J24" s="29"/>
      <c r="K24" s="140">
        <f t="shared" si="7"/>
        <v>9</v>
      </c>
      <c r="L24" s="152">
        <f t="shared" si="8"/>
        <v>1.4999999999999999E-2</v>
      </c>
      <c r="M24" s="29"/>
      <c r="N24" s="140">
        <f t="shared" si="9"/>
        <v>15</v>
      </c>
      <c r="O24" s="152">
        <f t="shared" si="10"/>
        <v>1.4999999999999999E-2</v>
      </c>
      <c r="P24" s="140">
        <f t="shared" si="11"/>
        <v>0</v>
      </c>
      <c r="Q24" s="29"/>
      <c r="R24" s="22">
        <f t="shared" si="2"/>
        <v>0</v>
      </c>
      <c r="S24" s="22">
        <f t="shared" si="3"/>
        <v>0</v>
      </c>
      <c r="T24" s="22">
        <f t="shared" si="4"/>
        <v>0</v>
      </c>
      <c r="Y24" s="123">
        <f t="shared" si="0"/>
        <v>0</v>
      </c>
    </row>
    <row r="25" spans="1:25" ht="15.75" x14ac:dyDescent="0.25">
      <c r="A25" t="s">
        <v>122</v>
      </c>
      <c r="B25" s="178" t="str">
        <f>DECAISSEMENTS!B20</f>
        <v>INSTALL 15</v>
      </c>
      <c r="C25" s="28"/>
      <c r="D25" s="28"/>
      <c r="E25" s="28"/>
      <c r="F25" s="14" t="str">
        <f t="shared" si="1"/>
        <v/>
      </c>
      <c r="G25" s="29"/>
      <c r="H25" s="140">
        <f t="shared" si="5"/>
        <v>13</v>
      </c>
      <c r="I25" s="152">
        <f t="shared" si="6"/>
        <v>1.4999999999999999E-2</v>
      </c>
      <c r="J25" s="29"/>
      <c r="K25" s="140">
        <f t="shared" si="7"/>
        <v>9</v>
      </c>
      <c r="L25" s="152">
        <f t="shared" si="8"/>
        <v>1.4999999999999999E-2</v>
      </c>
      <c r="M25" s="29"/>
      <c r="N25" s="140">
        <f t="shared" si="9"/>
        <v>15</v>
      </c>
      <c r="O25" s="152">
        <f t="shared" si="10"/>
        <v>1.4999999999999999E-2</v>
      </c>
      <c r="P25" s="140">
        <f t="shared" si="11"/>
        <v>0</v>
      </c>
      <c r="Q25" s="29"/>
      <c r="R25" s="22">
        <f t="shared" si="2"/>
        <v>0</v>
      </c>
      <c r="S25" s="22">
        <f t="shared" si="3"/>
        <v>0</v>
      </c>
      <c r="T25" s="22">
        <f t="shared" si="4"/>
        <v>0</v>
      </c>
      <c r="Y25" s="123">
        <f t="shared" si="0"/>
        <v>0</v>
      </c>
    </row>
    <row r="26" spans="1:25" ht="15.75" x14ac:dyDescent="0.25">
      <c r="A26" t="s">
        <v>122</v>
      </c>
      <c r="B26" s="178" t="str">
        <f>DECAISSEMENTS!B21</f>
        <v>INSTALL 16</v>
      </c>
      <c r="C26" s="28"/>
      <c r="D26" s="28"/>
      <c r="E26" s="28"/>
      <c r="F26" s="14" t="str">
        <f t="shared" si="1"/>
        <v/>
      </c>
      <c r="G26" s="29"/>
      <c r="H26" s="140">
        <f t="shared" si="5"/>
        <v>13</v>
      </c>
      <c r="I26" s="152">
        <f t="shared" si="6"/>
        <v>1.4999999999999999E-2</v>
      </c>
      <c r="J26" s="29"/>
      <c r="K26" s="140">
        <f t="shared" si="7"/>
        <v>9</v>
      </c>
      <c r="L26" s="152">
        <f t="shared" si="8"/>
        <v>1.4999999999999999E-2</v>
      </c>
      <c r="M26" s="29"/>
      <c r="N26" s="140">
        <f t="shared" si="9"/>
        <v>15</v>
      </c>
      <c r="O26" s="152">
        <f t="shared" si="10"/>
        <v>1.4999999999999999E-2</v>
      </c>
      <c r="P26" s="140">
        <f t="shared" si="11"/>
        <v>0</v>
      </c>
      <c r="Q26" s="29"/>
      <c r="R26" s="22">
        <f t="shared" si="2"/>
        <v>0</v>
      </c>
      <c r="S26" s="22">
        <f t="shared" si="3"/>
        <v>0</v>
      </c>
      <c r="T26" s="22">
        <f t="shared" si="4"/>
        <v>0</v>
      </c>
      <c r="Y26" s="123">
        <f t="shared" si="0"/>
        <v>0</v>
      </c>
    </row>
    <row r="27" spans="1:25" ht="15.75" x14ac:dyDescent="0.25">
      <c r="A27" t="s">
        <v>122</v>
      </c>
      <c r="B27" s="178" t="str">
        <f>DECAISSEMENTS!B22</f>
        <v>INSTALL 17</v>
      </c>
      <c r="C27" s="28"/>
      <c r="D27" s="28"/>
      <c r="E27" s="28"/>
      <c r="F27" s="14" t="str">
        <f t="shared" si="1"/>
        <v/>
      </c>
      <c r="G27" s="29"/>
      <c r="H27" s="140">
        <f t="shared" si="5"/>
        <v>13</v>
      </c>
      <c r="I27" s="152">
        <f t="shared" si="6"/>
        <v>1.4999999999999999E-2</v>
      </c>
      <c r="J27" s="29"/>
      <c r="K27" s="140">
        <f t="shared" si="7"/>
        <v>9</v>
      </c>
      <c r="L27" s="152">
        <f t="shared" si="8"/>
        <v>1.4999999999999999E-2</v>
      </c>
      <c r="M27" s="29"/>
      <c r="N27" s="140">
        <f t="shared" si="9"/>
        <v>15</v>
      </c>
      <c r="O27" s="152">
        <f t="shared" si="10"/>
        <v>1.4999999999999999E-2</v>
      </c>
      <c r="P27" s="140">
        <f t="shared" si="11"/>
        <v>0</v>
      </c>
      <c r="Q27" s="29"/>
      <c r="R27" s="22">
        <f t="shared" si="2"/>
        <v>0</v>
      </c>
      <c r="S27" s="22">
        <f t="shared" si="3"/>
        <v>0</v>
      </c>
      <c r="T27" s="22">
        <f t="shared" si="4"/>
        <v>0</v>
      </c>
      <c r="Y27" s="123">
        <f t="shared" si="0"/>
        <v>0</v>
      </c>
    </row>
    <row r="28" spans="1:25" ht="15.75" x14ac:dyDescent="0.25">
      <c r="A28" t="s">
        <v>122</v>
      </c>
      <c r="B28" s="178" t="str">
        <f>DECAISSEMENTS!B23</f>
        <v>INSTALL 18</v>
      </c>
      <c r="C28" s="28"/>
      <c r="D28" s="28"/>
      <c r="E28" s="28"/>
      <c r="F28" s="14" t="str">
        <f t="shared" si="1"/>
        <v/>
      </c>
      <c r="G28" s="29"/>
      <c r="H28" s="140">
        <f t="shared" si="5"/>
        <v>13</v>
      </c>
      <c r="I28" s="152">
        <f t="shared" si="6"/>
        <v>1.4999999999999999E-2</v>
      </c>
      <c r="J28" s="29"/>
      <c r="K28" s="140">
        <f t="shared" si="7"/>
        <v>9</v>
      </c>
      <c r="L28" s="152">
        <f t="shared" si="8"/>
        <v>1.4999999999999999E-2</v>
      </c>
      <c r="M28" s="29"/>
      <c r="N28" s="140">
        <f t="shared" si="9"/>
        <v>15</v>
      </c>
      <c r="O28" s="152">
        <f t="shared" si="10"/>
        <v>1.4999999999999999E-2</v>
      </c>
      <c r="P28" s="140">
        <f t="shared" si="11"/>
        <v>0</v>
      </c>
      <c r="Q28" s="29"/>
      <c r="R28" s="22">
        <f t="shared" si="2"/>
        <v>0</v>
      </c>
      <c r="S28" s="22">
        <f t="shared" si="3"/>
        <v>0</v>
      </c>
      <c r="T28" s="22">
        <f t="shared" si="4"/>
        <v>0</v>
      </c>
      <c r="Y28" s="123">
        <f t="shared" si="0"/>
        <v>0</v>
      </c>
    </row>
    <row r="29" spans="1:25" ht="15.75" x14ac:dyDescent="0.25">
      <c r="A29" t="s">
        <v>122</v>
      </c>
      <c r="B29" s="178" t="str">
        <f>DECAISSEMENTS!B24</f>
        <v>INSTALL 19</v>
      </c>
      <c r="C29" s="28"/>
      <c r="D29" s="28"/>
      <c r="E29" s="28"/>
      <c r="F29" s="14" t="str">
        <f t="shared" si="1"/>
        <v/>
      </c>
      <c r="G29" s="29"/>
      <c r="H29" s="140">
        <f t="shared" si="5"/>
        <v>13</v>
      </c>
      <c r="I29" s="152">
        <f t="shared" si="6"/>
        <v>1.4999999999999999E-2</v>
      </c>
      <c r="J29" s="29"/>
      <c r="K29" s="140">
        <f t="shared" si="7"/>
        <v>9</v>
      </c>
      <c r="L29" s="152">
        <f t="shared" si="8"/>
        <v>1.4999999999999999E-2</v>
      </c>
      <c r="M29" s="29"/>
      <c r="N29" s="140">
        <f t="shared" si="9"/>
        <v>15</v>
      </c>
      <c r="O29" s="152">
        <f t="shared" si="10"/>
        <v>1.4999999999999999E-2</v>
      </c>
      <c r="P29" s="140">
        <f t="shared" si="11"/>
        <v>0</v>
      </c>
      <c r="Q29" s="29"/>
      <c r="R29" s="22">
        <f t="shared" si="2"/>
        <v>0</v>
      </c>
      <c r="S29" s="22">
        <f t="shared" si="3"/>
        <v>0</v>
      </c>
      <c r="T29" s="22">
        <f t="shared" si="4"/>
        <v>0</v>
      </c>
      <c r="Y29" s="123">
        <f t="shared" si="0"/>
        <v>0</v>
      </c>
    </row>
    <row r="30" spans="1:25" ht="15.75" x14ac:dyDescent="0.25">
      <c r="A30" t="s">
        <v>122</v>
      </c>
      <c r="B30" s="178" t="str">
        <f>DECAISSEMENTS!B25</f>
        <v>INSTALL 20</v>
      </c>
      <c r="C30" s="28"/>
      <c r="D30" s="28"/>
      <c r="E30" s="28"/>
      <c r="F30" s="14" t="str">
        <f t="shared" si="1"/>
        <v/>
      </c>
      <c r="G30" s="29"/>
      <c r="H30" s="140">
        <f t="shared" si="5"/>
        <v>13</v>
      </c>
      <c r="I30" s="152">
        <f t="shared" si="6"/>
        <v>1.4999999999999999E-2</v>
      </c>
      <c r="J30" s="29"/>
      <c r="K30" s="140">
        <f t="shared" si="7"/>
        <v>9</v>
      </c>
      <c r="L30" s="152">
        <f t="shared" si="8"/>
        <v>1.4999999999999999E-2</v>
      </c>
      <c r="M30" s="29"/>
      <c r="N30" s="140">
        <f t="shared" si="9"/>
        <v>15</v>
      </c>
      <c r="O30" s="152">
        <f t="shared" si="10"/>
        <v>1.4999999999999999E-2</v>
      </c>
      <c r="P30" s="140">
        <f t="shared" si="11"/>
        <v>0</v>
      </c>
      <c r="Q30" s="29"/>
      <c r="R30" s="22">
        <f t="shared" si="2"/>
        <v>0</v>
      </c>
      <c r="S30" s="22">
        <f t="shared" si="3"/>
        <v>0</v>
      </c>
      <c r="T30" s="22">
        <f t="shared" si="4"/>
        <v>0</v>
      </c>
      <c r="Y30" s="123">
        <f t="shared" si="0"/>
        <v>0</v>
      </c>
    </row>
    <row r="31" spans="1:25" ht="18.75" x14ac:dyDescent="0.3">
      <c r="A31" s="115"/>
      <c r="B31" s="116"/>
      <c r="C31" s="114">
        <f>SUMPRODUCT(C11:C30,$Y$11:$Y$30)</f>
        <v>0</v>
      </c>
      <c r="D31" s="114">
        <f>SUMPRODUCT(D11:D30,$Y$11:$Y$30)</f>
        <v>0</v>
      </c>
      <c r="E31" s="114">
        <f>SUMPRODUCT(E11:E30,$Y$11:$Y$30)</f>
        <v>0</v>
      </c>
      <c r="G31" s="114">
        <f>SUMPRODUCT(G11:G30,$Y$11:$Y$30)</f>
        <v>0</v>
      </c>
      <c r="H31"/>
      <c r="I31"/>
      <c r="J31" s="114">
        <f>SUMPRODUCT(J11:J30,$Y$11:$Y$30)</f>
        <v>0</v>
      </c>
      <c r="K31"/>
      <c r="L31"/>
      <c r="M31" s="114">
        <f>SUMPRODUCT(M11:M30,$Y$11:$Y$30)</f>
        <v>0</v>
      </c>
      <c r="P31" s="114">
        <f>SUMPRODUCT(P11:P30,$Y$11:$Y$30)</f>
        <v>0</v>
      </c>
      <c r="Q31" s="98"/>
      <c r="R31" s="114">
        <f>SUMPRODUCT(R11:R30,$Y$11:$Y$30)</f>
        <v>0</v>
      </c>
      <c r="S31" s="114">
        <f>SUMPRODUCT(S11:S30,$Y$11:$Y$30)</f>
        <v>0</v>
      </c>
      <c r="T31" s="114">
        <f>SUMPRODUCT(T11:T30,$Y$11:$Y$30)</f>
        <v>0</v>
      </c>
      <c r="Y31" s="86"/>
    </row>
    <row r="32" spans="1:25" ht="6.75" customHeight="1" x14ac:dyDescent="0.25">
      <c r="A32"/>
      <c r="C32"/>
      <c r="D32"/>
      <c r="E32"/>
      <c r="H32"/>
      <c r="I32"/>
      <c r="J32"/>
      <c r="K32"/>
      <c r="L32"/>
      <c r="M32"/>
      <c r="Q32"/>
      <c r="R32"/>
      <c r="S32"/>
      <c r="U32"/>
      <c r="V32"/>
    </row>
    <row r="33" spans="1:25" x14ac:dyDescent="0.25">
      <c r="H33"/>
      <c r="I33"/>
      <c r="K33"/>
      <c r="L33"/>
      <c r="M33"/>
      <c r="Y33" s="86"/>
    </row>
    <row r="34" spans="1:25" ht="15.75" thickBot="1" x14ac:dyDescent="0.3">
      <c r="C34" s="2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Y34" s="86"/>
    </row>
    <row r="35" spans="1:25" ht="18.75" x14ac:dyDescent="0.3">
      <c r="A35" s="141" t="s">
        <v>183</v>
      </c>
      <c r="B35" s="142"/>
      <c r="C35" s="143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4"/>
      <c r="Q35"/>
      <c r="R35"/>
      <c r="S35"/>
      <c r="Y35" s="86"/>
    </row>
    <row r="36" spans="1:25" ht="21" x14ac:dyDescent="0.25">
      <c r="A36" s="145" t="s">
        <v>184</v>
      </c>
      <c r="B36" s="88"/>
      <c r="P36" s="146"/>
      <c r="Y36" s="86"/>
    </row>
    <row r="37" spans="1:25" x14ac:dyDescent="0.25">
      <c r="A37" s="145" t="s">
        <v>185</v>
      </c>
      <c r="B37" s="100"/>
      <c r="P37" s="146"/>
      <c r="Y37" s="86"/>
    </row>
    <row r="38" spans="1:25" x14ac:dyDescent="0.25">
      <c r="A38" s="145" t="s">
        <v>198</v>
      </c>
      <c r="B38" s="10"/>
      <c r="P38" s="146"/>
    </row>
    <row r="39" spans="1:25" x14ac:dyDescent="0.25">
      <c r="A39" s="145" t="s">
        <v>189</v>
      </c>
      <c r="B39" s="121"/>
      <c r="P39" s="146"/>
    </row>
    <row r="40" spans="1:25" ht="15.75" thickBot="1" x14ac:dyDescent="0.3">
      <c r="A40" s="147"/>
      <c r="B40" s="148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50"/>
    </row>
    <row r="41" spans="1:25" x14ac:dyDescent="0.25">
      <c r="B41" s="100"/>
    </row>
    <row r="42" spans="1:25" x14ac:dyDescent="0.25">
      <c r="B42" s="100"/>
      <c r="E42"/>
      <c r="F42"/>
      <c r="G42"/>
    </row>
    <row r="43" spans="1:25" x14ac:dyDescent="0.25">
      <c r="B43" s="208"/>
    </row>
    <row r="44" spans="1:25" x14ac:dyDescent="0.25">
      <c r="A44" s="17"/>
      <c r="B44" s="208"/>
    </row>
    <row r="45" spans="1:25" s="18" customFormat="1" x14ac:dyDescent="0.25">
      <c r="A45" s="20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U45" s="19"/>
      <c r="V45" s="19"/>
    </row>
  </sheetData>
  <mergeCells count="3">
    <mergeCell ref="B43:B44"/>
    <mergeCell ref="A1:T1"/>
    <mergeCell ref="A6:T6"/>
  </mergeCells>
  <phoneticPr fontId="43" type="noConversion"/>
  <conditionalFormatting sqref="A11:A30">
    <cfRule type="cellIs" dxfId="6" priority="3" operator="equal">
      <formula>"NON"</formula>
    </cfRule>
  </conditionalFormatting>
  <conditionalFormatting sqref="A11:A31">
    <cfRule type="cellIs" dxfId="5" priority="4" operator="equal">
      <formula>"Oui"</formula>
    </cfRule>
  </conditionalFormatting>
  <conditionalFormatting sqref="R11:R30">
    <cfRule type="dataBar" priority="2">
      <dataBar>
        <cfvo type="min"/>
        <cfvo type="max"/>
        <color rgb="FF008AEF"/>
      </dataBar>
    </cfRule>
  </conditionalFormatting>
  <conditionalFormatting sqref="S11:S30">
    <cfRule type="dataBar" priority="13">
      <dataBar>
        <cfvo type="min"/>
        <cfvo type="max"/>
        <color rgb="FF008AEF"/>
      </dataBar>
    </cfRule>
  </conditionalFormatting>
  <conditionalFormatting sqref="T11:T30">
    <cfRule type="dataBar" priority="1">
      <dataBar>
        <cfvo type="min"/>
        <cfvo type="max"/>
        <color rgb="FF008AEF"/>
      </dataBar>
    </cfRule>
  </conditionalFormatting>
  <dataValidations count="1">
    <dataValidation type="list" allowBlank="1" showInputMessage="1" showErrorMessage="1" sqref="A11:A30" xr:uid="{00000000-0002-0000-0100-000000000000}">
      <formula1>$X$10:$X$11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AR62"/>
  <sheetViews>
    <sheetView showGridLines="0" zoomScale="90" zoomScaleNormal="90" workbookViewId="0">
      <selection activeCell="F46" sqref="F46"/>
    </sheetView>
  </sheetViews>
  <sheetFormatPr baseColWidth="10" defaultColWidth="11.5703125" defaultRowHeight="16.899999999999999" customHeight="1" x14ac:dyDescent="0.25"/>
  <cols>
    <col min="1" max="1" width="23.5703125" style="2" customWidth="1"/>
    <col min="2" max="2" width="16.5703125" style="2" customWidth="1"/>
    <col min="3" max="3" width="13.28515625" style="2" customWidth="1"/>
    <col min="4" max="4" width="12.7109375" style="2" customWidth="1"/>
    <col min="5" max="5" width="8.42578125" style="2" customWidth="1"/>
    <col min="6" max="6" width="10.7109375" style="2" customWidth="1"/>
    <col min="7" max="11" width="8.42578125" style="2" customWidth="1"/>
    <col min="12" max="12" width="10.28515625" style="2" customWidth="1"/>
    <col min="13" max="13" width="9.5703125" style="2" customWidth="1"/>
    <col min="14" max="23" width="8.42578125" style="2" customWidth="1"/>
    <col min="24" max="25" width="11.5703125" style="2"/>
    <col min="26" max="26" width="14.7109375" style="2" customWidth="1"/>
    <col min="27" max="27" width="11.5703125" style="92"/>
    <col min="28" max="32" width="11.5703125" style="92" customWidth="1"/>
    <col min="33" max="35" width="11.5703125" style="92"/>
    <col min="36" max="16384" width="11.5703125" style="2"/>
  </cols>
  <sheetData>
    <row r="1" spans="1:39" s="33" customFormat="1" ht="16.899999999999999" customHeight="1" x14ac:dyDescent="0.35">
      <c r="A1" s="232" t="s">
        <v>200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Y1" s="2"/>
      <c r="Z1" s="2"/>
      <c r="AA1" s="92"/>
      <c r="AC1" s="93"/>
      <c r="AD1" s="94">
        <v>1</v>
      </c>
      <c r="AE1" s="92"/>
      <c r="AF1" s="92"/>
      <c r="AG1" s="92"/>
      <c r="AH1" s="92"/>
      <c r="AI1" s="92"/>
      <c r="AJ1" s="2"/>
      <c r="AK1" s="2"/>
      <c r="AL1" s="2"/>
      <c r="AM1" s="2"/>
    </row>
    <row r="2" spans="1:39" ht="16.899999999999999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5" t="s">
        <v>75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AB2" s="92">
        <f t="shared" ref="AB2:AB10" si="0">AB3-20</f>
        <v>200</v>
      </c>
      <c r="AC2" s="92">
        <v>8</v>
      </c>
      <c r="AD2" s="94">
        <v>1.01</v>
      </c>
      <c r="AE2" s="92" t="s">
        <v>73</v>
      </c>
      <c r="AF2" s="94">
        <v>0.05</v>
      </c>
    </row>
    <row r="3" spans="1:39" ht="16.899999999999999" customHeight="1" x14ac:dyDescent="0.25">
      <c r="A3" s="36"/>
      <c r="B3" s="36"/>
      <c r="C3" s="36"/>
      <c r="D3" s="36"/>
      <c r="E3" s="36"/>
      <c r="F3" s="36"/>
      <c r="G3" s="37"/>
      <c r="H3" s="38" t="s">
        <v>88</v>
      </c>
      <c r="I3" s="38"/>
      <c r="J3" s="36"/>
      <c r="K3" s="36"/>
      <c r="L3" s="36"/>
      <c r="M3" s="39"/>
      <c r="N3" s="40" t="s">
        <v>84</v>
      </c>
      <c r="O3" s="36"/>
      <c r="P3" s="36"/>
      <c r="Q3" s="36"/>
      <c r="R3" s="36"/>
      <c r="S3" s="36"/>
      <c r="T3" s="36"/>
      <c r="U3" s="36"/>
      <c r="V3" s="36"/>
      <c r="W3" s="36"/>
      <c r="AB3" s="92">
        <f t="shared" si="0"/>
        <v>220</v>
      </c>
      <c r="AC3" s="92">
        <v>9</v>
      </c>
      <c r="AD3" s="94"/>
      <c r="AE3" s="92" t="s">
        <v>72</v>
      </c>
      <c r="AF3" s="94"/>
    </row>
    <row r="4" spans="1:39" ht="16.899999999999999" customHeight="1" x14ac:dyDescent="0.25">
      <c r="A4" s="2" t="s">
        <v>71</v>
      </c>
      <c r="B4" s="70" t="s">
        <v>72</v>
      </c>
      <c r="J4" s="41"/>
      <c r="AB4" s="92">
        <f t="shared" si="0"/>
        <v>240</v>
      </c>
      <c r="AC4" s="92">
        <v>10</v>
      </c>
      <c r="AD4" s="94"/>
      <c r="AF4" s="94"/>
    </row>
    <row r="5" spans="1:39" ht="16.899999999999999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AB5" s="92">
        <f t="shared" si="0"/>
        <v>260</v>
      </c>
      <c r="AC5" s="92">
        <v>11</v>
      </c>
      <c r="AD5" s="94">
        <v>1.02</v>
      </c>
      <c r="AF5" s="94">
        <f>AF2+5%</f>
        <v>0.1</v>
      </c>
    </row>
    <row r="6" spans="1:39" s="46" customFormat="1" ht="16.899999999999999" customHeight="1" x14ac:dyDescent="0.25">
      <c r="A6" s="43" t="s">
        <v>27</v>
      </c>
      <c r="B6" s="43"/>
      <c r="C6" s="43"/>
      <c r="D6" s="44"/>
      <c r="E6" s="44"/>
      <c r="F6" s="45" t="s">
        <v>85</v>
      </c>
      <c r="G6" s="44"/>
      <c r="H6" s="44"/>
      <c r="I6" s="44"/>
      <c r="J6" s="44"/>
      <c r="K6" s="221" t="s">
        <v>0</v>
      </c>
      <c r="L6" s="221"/>
      <c r="M6" s="221"/>
      <c r="N6" s="221"/>
      <c r="O6" s="44"/>
      <c r="P6" s="44"/>
      <c r="Q6" s="44"/>
      <c r="R6" s="44"/>
      <c r="S6" s="44"/>
      <c r="T6" s="44"/>
      <c r="U6" s="44"/>
      <c r="V6" s="44"/>
      <c r="W6" s="44"/>
      <c r="Y6" s="2"/>
      <c r="Z6" s="2"/>
      <c r="AA6" s="92"/>
      <c r="AB6" s="92">
        <f t="shared" si="0"/>
        <v>280</v>
      </c>
      <c r="AC6" s="92">
        <v>12</v>
      </c>
      <c r="AD6" s="95">
        <v>1.03</v>
      </c>
      <c r="AE6" s="92"/>
      <c r="AF6" s="94">
        <f t="shared" ref="AF6:AF14" si="1">AF5+5%</f>
        <v>0.15000000000000002</v>
      </c>
      <c r="AG6" s="92"/>
      <c r="AH6" s="92"/>
      <c r="AI6" s="92"/>
      <c r="AJ6" s="2"/>
      <c r="AK6" s="2"/>
      <c r="AL6" s="2"/>
      <c r="AM6" s="2"/>
    </row>
    <row r="7" spans="1:39" ht="16.899999999999999" customHeight="1" x14ac:dyDescent="0.25">
      <c r="AB7" s="92">
        <f t="shared" si="0"/>
        <v>300</v>
      </c>
      <c r="AC7" s="92">
        <v>13</v>
      </c>
      <c r="AD7" s="95">
        <f>1%+AD6</f>
        <v>1.04</v>
      </c>
      <c r="AF7" s="94">
        <f t="shared" si="1"/>
        <v>0.2</v>
      </c>
    </row>
    <row r="8" spans="1:39" s="48" customFormat="1" ht="15" x14ac:dyDescent="0.25">
      <c r="A8" s="218" t="s">
        <v>23</v>
      </c>
      <c r="B8" s="219"/>
      <c r="C8" s="47">
        <f>ENCAISSEMENTS!C31</f>
        <v>0</v>
      </c>
      <c r="F8" s="218" t="s">
        <v>42</v>
      </c>
      <c r="G8" s="220"/>
      <c r="H8" s="219"/>
      <c r="I8" s="171">
        <v>5.0000000000000001E-3</v>
      </c>
      <c r="K8" s="218" t="s">
        <v>127</v>
      </c>
      <c r="L8" s="219"/>
      <c r="M8" s="49">
        <f>M9*M10</f>
        <v>0</v>
      </c>
      <c r="N8" s="50"/>
      <c r="O8" s="218" t="s">
        <v>77</v>
      </c>
      <c r="P8" s="219"/>
      <c r="Q8" s="71"/>
      <c r="R8" s="2"/>
      <c r="S8" s="218" t="s">
        <v>143</v>
      </c>
      <c r="T8" s="220"/>
      <c r="U8" s="219"/>
      <c r="V8" s="139" t="e">
        <f>(M8+M14)/C11</f>
        <v>#DIV/0!</v>
      </c>
      <c r="W8" s="2"/>
      <c r="X8" s="2"/>
      <c r="Y8" s="2"/>
      <c r="Z8" s="2"/>
      <c r="AA8" s="92"/>
      <c r="AB8" s="92">
        <f t="shared" si="0"/>
        <v>320</v>
      </c>
      <c r="AC8" s="92">
        <v>14</v>
      </c>
      <c r="AD8" s="95">
        <f t="shared" ref="AD8:AD19" si="2">1%+AD7</f>
        <v>1.05</v>
      </c>
      <c r="AE8" s="96"/>
      <c r="AF8" s="94">
        <f t="shared" si="1"/>
        <v>0.25</v>
      </c>
      <c r="AG8" s="96"/>
      <c r="AH8" s="96"/>
      <c r="AI8" s="96"/>
    </row>
    <row r="9" spans="1:39" ht="15" x14ac:dyDescent="0.25">
      <c r="A9" s="216" t="s">
        <v>24</v>
      </c>
      <c r="B9" s="217"/>
      <c r="C9" s="51">
        <f>ENCAISSEMENTS!D31</f>
        <v>0</v>
      </c>
      <c r="F9" s="218" t="s">
        <v>3</v>
      </c>
      <c r="G9" s="220"/>
      <c r="H9" s="219"/>
      <c r="I9" s="171">
        <v>5.0000000000000001E-3</v>
      </c>
      <c r="K9" s="216" t="s">
        <v>86</v>
      </c>
      <c r="L9" s="217"/>
      <c r="M9" s="70"/>
      <c r="O9" s="218" t="s">
        <v>125</v>
      </c>
      <c r="P9" s="219"/>
      <c r="Q9" s="72"/>
      <c r="AB9" s="92">
        <f t="shared" si="0"/>
        <v>340</v>
      </c>
      <c r="AC9" s="92">
        <v>15</v>
      </c>
      <c r="AD9" s="95">
        <f t="shared" si="2"/>
        <v>1.06</v>
      </c>
      <c r="AF9" s="94">
        <f t="shared" si="1"/>
        <v>0.3</v>
      </c>
    </row>
    <row r="10" spans="1:39" ht="15" x14ac:dyDescent="0.25">
      <c r="A10" s="218" t="s">
        <v>26</v>
      </c>
      <c r="B10" s="219"/>
      <c r="C10" s="52">
        <f>ENCAISSEMENTS!E31</f>
        <v>0</v>
      </c>
      <c r="F10" s="218" t="s">
        <v>4</v>
      </c>
      <c r="G10" s="220"/>
      <c r="H10" s="219"/>
      <c r="I10" s="73">
        <v>0.02</v>
      </c>
      <c r="K10" s="216" t="s">
        <v>87</v>
      </c>
      <c r="L10" s="217"/>
      <c r="M10" s="74"/>
      <c r="O10" s="218" t="s">
        <v>12</v>
      </c>
      <c r="P10" s="219"/>
      <c r="Q10" s="69"/>
      <c r="S10" s="218" t="s">
        <v>144</v>
      </c>
      <c r="T10" s="220"/>
      <c r="U10" s="219"/>
      <c r="V10" s="125" t="e">
        <f>DECAISSEMENTS!C26/(ENCAISSEMENTS!D31*1000)</f>
        <v>#DIV/0!</v>
      </c>
      <c r="AB10" s="92">
        <f t="shared" si="0"/>
        <v>360</v>
      </c>
      <c r="AC10" s="92">
        <v>16</v>
      </c>
      <c r="AD10" s="95">
        <f t="shared" si="2"/>
        <v>1.07</v>
      </c>
      <c r="AF10" s="94">
        <f t="shared" si="1"/>
        <v>0.35</v>
      </c>
    </row>
    <row r="11" spans="1:39" ht="15" x14ac:dyDescent="0.25">
      <c r="A11" s="109" t="s">
        <v>28</v>
      </c>
      <c r="B11" s="110"/>
      <c r="C11" s="53">
        <f>DECAISSEMENTS!M26</f>
        <v>0</v>
      </c>
      <c r="F11" s="218" t="s">
        <v>43</v>
      </c>
      <c r="G11" s="220"/>
      <c r="H11" s="219"/>
      <c r="I11" s="172">
        <v>1</v>
      </c>
      <c r="K11" s="218" t="s">
        <v>30</v>
      </c>
      <c r="L11" s="219"/>
      <c r="M11" s="49">
        <f>1.01*C11-M8-Q8-M14</f>
        <v>0</v>
      </c>
      <c r="N11"/>
      <c r="AB11" s="92">
        <f>AB12-20</f>
        <v>380</v>
      </c>
      <c r="AD11" s="95">
        <f t="shared" si="2"/>
        <v>1.08</v>
      </c>
      <c r="AF11" s="94">
        <f t="shared" si="1"/>
        <v>0.39999999999999997</v>
      </c>
    </row>
    <row r="12" spans="1:39" ht="15" x14ac:dyDescent="0.25">
      <c r="A12" s="109" t="s">
        <v>25</v>
      </c>
      <c r="B12" s="110"/>
      <c r="C12" s="53">
        <f>ENCAISSEMENTS!T31</f>
        <v>0</v>
      </c>
      <c r="F12" s="218" t="s">
        <v>44</v>
      </c>
      <c r="G12" s="220"/>
      <c r="H12" s="219"/>
      <c r="I12" s="173">
        <v>0.3</v>
      </c>
      <c r="K12" s="216" t="s">
        <v>45</v>
      </c>
      <c r="L12" s="217"/>
      <c r="M12" s="73"/>
      <c r="O12" s="233" t="s">
        <v>179</v>
      </c>
      <c r="P12" s="233"/>
      <c r="Q12" s="234">
        <v>0.03</v>
      </c>
      <c r="AB12" s="92">
        <v>400</v>
      </c>
      <c r="AD12" s="95">
        <f t="shared" si="2"/>
        <v>1.0900000000000001</v>
      </c>
      <c r="AF12" s="94">
        <f t="shared" si="1"/>
        <v>0.44999999999999996</v>
      </c>
    </row>
    <row r="13" spans="1:39" ht="15" x14ac:dyDescent="0.25">
      <c r="A13" s="109" t="s">
        <v>29</v>
      </c>
      <c r="B13" s="110"/>
      <c r="C13" s="53">
        <f>DECAISSEMENTS!L56+DECAISSEMENTS!H32-DECAISSEMENTS!H56</f>
        <v>2295</v>
      </c>
      <c r="F13" s="218" t="s">
        <v>14</v>
      </c>
      <c r="G13" s="220"/>
      <c r="H13" s="219"/>
      <c r="I13" s="174" t="e">
        <f>(M8*Q12+M11*M12*(1-0.15))/(M8+M11)</f>
        <v>#DIV/0!</v>
      </c>
      <c r="K13" s="216" t="s">
        <v>12</v>
      </c>
      <c r="L13" s="217"/>
      <c r="M13" s="70"/>
      <c r="O13" s="233"/>
      <c r="P13" s="233"/>
      <c r="Q13" s="234"/>
      <c r="AB13" s="92">
        <v>450</v>
      </c>
      <c r="AD13" s="95">
        <f t="shared" si="2"/>
        <v>1.1000000000000001</v>
      </c>
      <c r="AF13" s="94">
        <f t="shared" si="1"/>
        <v>0.49999999999999994</v>
      </c>
    </row>
    <row r="14" spans="1:39" ht="15" x14ac:dyDescent="0.25">
      <c r="A14" s="218" t="s">
        <v>38</v>
      </c>
      <c r="B14" s="219"/>
      <c r="C14" s="53">
        <f>DECAISSEMENTS!E60+DECAISSEMENTS!E61</f>
        <v>0</v>
      </c>
      <c r="F14" s="218" t="s">
        <v>34</v>
      </c>
      <c r="G14" s="220"/>
      <c r="H14" s="219"/>
      <c r="I14" s="173">
        <v>0.17199999999999999</v>
      </c>
      <c r="K14" s="216" t="s">
        <v>142</v>
      </c>
      <c r="L14" s="217"/>
      <c r="M14" s="70"/>
      <c r="AB14" s="92">
        <v>475</v>
      </c>
      <c r="AD14" s="95">
        <f t="shared" si="2"/>
        <v>1.1100000000000001</v>
      </c>
      <c r="AF14" s="94">
        <f t="shared" si="1"/>
        <v>0.54999999999999993</v>
      </c>
    </row>
    <row r="15" spans="1:39" ht="14.45" customHeight="1" x14ac:dyDescent="0.25">
      <c r="A15" s="216" t="s">
        <v>62</v>
      </c>
      <c r="B15" s="217"/>
      <c r="C15" s="53">
        <f>DECAISSEMENTS!E62</f>
        <v>0</v>
      </c>
      <c r="F15" s="227" t="s">
        <v>46</v>
      </c>
      <c r="G15" s="228"/>
      <c r="H15" s="229"/>
      <c r="I15" s="173">
        <v>0.99</v>
      </c>
      <c r="K15"/>
      <c r="L15"/>
      <c r="M15"/>
      <c r="N15"/>
      <c r="AB15" s="92">
        <v>500</v>
      </c>
      <c r="AD15" s="95">
        <f t="shared" si="2"/>
        <v>1.1200000000000001</v>
      </c>
      <c r="AF15" s="97">
        <v>0.57499999999999996</v>
      </c>
    </row>
    <row r="16" spans="1:39" ht="14.45" customHeight="1" x14ac:dyDescent="0.25">
      <c r="A16" s="216" t="s">
        <v>141</v>
      </c>
      <c r="B16" s="217"/>
      <c r="C16" s="53">
        <f>DECAISSEMENTS!E63</f>
        <v>0</v>
      </c>
      <c r="F16" s="54" t="s">
        <v>89</v>
      </c>
      <c r="G16" s="55"/>
      <c r="H16" s="56"/>
      <c r="I16" s="175"/>
      <c r="AB16" s="92">
        <f>AB15+50</f>
        <v>550</v>
      </c>
      <c r="AD16" s="95">
        <f t="shared" si="2"/>
        <v>1.1300000000000001</v>
      </c>
      <c r="AF16" s="94">
        <f>AF14+5%</f>
        <v>0.6</v>
      </c>
    </row>
    <row r="17" spans="1:44" ht="16.899999999999999" customHeight="1" x14ac:dyDescent="0.25">
      <c r="AB17" s="92">
        <f>AB16+10</f>
        <v>560</v>
      </c>
      <c r="AD17" s="95">
        <f t="shared" si="2"/>
        <v>1.1400000000000001</v>
      </c>
      <c r="AF17" s="94">
        <f>AF16+5%</f>
        <v>0.65</v>
      </c>
    </row>
    <row r="18" spans="1:44" ht="16.899999999999999" customHeight="1" x14ac:dyDescent="0.25">
      <c r="A18" s="221" t="s">
        <v>2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AB18" s="92">
        <f t="shared" ref="AB18:AB47" si="3">AB17+10</f>
        <v>570</v>
      </c>
      <c r="AD18" s="95">
        <f t="shared" si="2"/>
        <v>1.1500000000000001</v>
      </c>
      <c r="AF18" s="94">
        <f>AF17+5%</f>
        <v>0.70000000000000007</v>
      </c>
    </row>
    <row r="19" spans="1:44" ht="16.899999999999999" customHeight="1" thickBot="1" x14ac:dyDescent="0.3">
      <c r="AB19" s="92">
        <f t="shared" si="3"/>
        <v>580</v>
      </c>
      <c r="AD19" s="95">
        <f t="shared" si="2"/>
        <v>1.1600000000000001</v>
      </c>
      <c r="AF19" s="94">
        <f>AF18+5%</f>
        <v>0.75000000000000011</v>
      </c>
    </row>
    <row r="20" spans="1:44" ht="16.899999999999999" customHeight="1" x14ac:dyDescent="0.25">
      <c r="B20" s="3"/>
      <c r="C20" s="4">
        <v>0</v>
      </c>
      <c r="D20" s="4">
        <v>1</v>
      </c>
      <c r="E20" s="5">
        <v>2</v>
      </c>
      <c r="F20" s="6">
        <v>3</v>
      </c>
      <c r="G20" s="6">
        <v>4</v>
      </c>
      <c r="H20" s="6">
        <v>5</v>
      </c>
      <c r="I20" s="6">
        <v>6</v>
      </c>
      <c r="J20" s="6">
        <v>7</v>
      </c>
      <c r="K20" s="6">
        <v>8</v>
      </c>
      <c r="L20" s="6">
        <v>9</v>
      </c>
      <c r="M20" s="6">
        <v>10</v>
      </c>
      <c r="N20" s="6">
        <v>11</v>
      </c>
      <c r="O20" s="6">
        <v>12</v>
      </c>
      <c r="P20" s="6">
        <v>13</v>
      </c>
      <c r="Q20" s="6">
        <v>14</v>
      </c>
      <c r="R20" s="6">
        <v>15</v>
      </c>
      <c r="S20" s="6">
        <v>16</v>
      </c>
      <c r="T20" s="6">
        <v>17</v>
      </c>
      <c r="U20" s="5">
        <v>18</v>
      </c>
      <c r="V20" s="5">
        <v>19</v>
      </c>
      <c r="W20" s="7">
        <v>20</v>
      </c>
      <c r="AB20" s="92">
        <f t="shared" si="3"/>
        <v>590</v>
      </c>
      <c r="AF20" s="94">
        <f>AF19+5%</f>
        <v>0.80000000000000016</v>
      </c>
      <c r="AN20" s="8"/>
      <c r="AO20" s="8"/>
      <c r="AP20" s="8"/>
      <c r="AQ20" s="8"/>
      <c r="AR20" s="9"/>
    </row>
    <row r="21" spans="1:44" ht="16.899999999999999" customHeight="1" x14ac:dyDescent="0.25">
      <c r="A21" s="212" t="s">
        <v>31</v>
      </c>
      <c r="B21" s="213"/>
      <c r="C21" s="105"/>
      <c r="D21" s="52">
        <f>C12*$I$15</f>
        <v>0</v>
      </c>
      <c r="E21" s="52">
        <f>((ENCAISSEMENTS!$G$31*ENCAISSEMENTS!$H$11/100)*(100%+ENCAISSEMENTS!$I$11)^(E20-1)+(ENCAISSEMENTS!$J$31*ENCAISSEMENTS!$K$11/100)*(100%+ENCAISSEMENTS!$L$11)^(E20-1)+(ENCAISSEMENTS!$M$31*ENCAISSEMENTS!$N$11/100)*(100%+ENCAISSEMENTS!$O$11)^(E20-1)+ENCAISSEMENTS!$S$31*(100%+index_tarif)^(E20-1))*$I$15*(100%-perte_prod)^(E20-1)</f>
        <v>0</v>
      </c>
      <c r="F21" s="52">
        <f>((ENCAISSEMENTS!$G$31*ENCAISSEMENTS!$H$11/100)*(100%+ENCAISSEMENTS!$I$11)^(F20-1)+(ENCAISSEMENTS!$J$31*ENCAISSEMENTS!$K$11/100)*(100%+ENCAISSEMENTS!$L$11)^(F20-1)+(ENCAISSEMENTS!$M$31*ENCAISSEMENTS!$N$11/100)*(100%+ENCAISSEMENTS!$O$11)^(F20-1)+ENCAISSEMENTS!$S$31*(100%+index_tarif)^(F20-1))*$I$15*(100%-perte_prod)^(F20-1)</f>
        <v>0</v>
      </c>
      <c r="G21" s="52">
        <f>((ENCAISSEMENTS!$G$31*ENCAISSEMENTS!$H$11/100)*(100%+ENCAISSEMENTS!$I$11)^(G20-1)+(ENCAISSEMENTS!$J$31*ENCAISSEMENTS!$K$11/100)*(100%+ENCAISSEMENTS!$L$11)^(G20-1)+(ENCAISSEMENTS!$M$31*ENCAISSEMENTS!$N$11/100)*(100%+ENCAISSEMENTS!$O$11)^(G20-1)+ENCAISSEMENTS!$S$31*(100%+index_tarif)^(G20-1))*$I$15*(100%-perte_prod)^(G20-1)</f>
        <v>0</v>
      </c>
      <c r="H21" s="52">
        <f>((ENCAISSEMENTS!$G$31*ENCAISSEMENTS!$H$11/100)*(100%+ENCAISSEMENTS!$I$11)^(H20-1)+(ENCAISSEMENTS!$J$31*ENCAISSEMENTS!$K$11/100)*(100%+ENCAISSEMENTS!$L$11)^(H20-1)+(ENCAISSEMENTS!$M$31*ENCAISSEMENTS!$N$11/100)*(100%+ENCAISSEMENTS!$O$11)^(H20-1)+ENCAISSEMENTS!$S$31*(100%+index_tarif)^(H20-1))*$I$15*(100%-perte_prod)^(H20-1)</f>
        <v>0</v>
      </c>
      <c r="I21" s="52">
        <f>((ENCAISSEMENTS!$G$31*ENCAISSEMENTS!$H$11/100)*(100%+ENCAISSEMENTS!$I$11)^(I20-1)+(ENCAISSEMENTS!$J$31*ENCAISSEMENTS!$K$11/100)*(100%+ENCAISSEMENTS!$L$11)^(I20-1)+(ENCAISSEMENTS!$M$31*ENCAISSEMENTS!$N$11/100)*(100%+ENCAISSEMENTS!$O$11)^(I20-1)+ENCAISSEMENTS!$S$31*(100%+index_tarif)^(I20-1))*$I$15*(100%-perte_prod)^(I20-1)</f>
        <v>0</v>
      </c>
      <c r="J21" s="52">
        <f>((ENCAISSEMENTS!$G$31*ENCAISSEMENTS!$H$11/100)*(100%+ENCAISSEMENTS!$I$11)^(J20-1)+(ENCAISSEMENTS!$J$31*ENCAISSEMENTS!$K$11/100)*(100%+ENCAISSEMENTS!$L$11)^(J20-1)+(ENCAISSEMENTS!$M$31*ENCAISSEMENTS!$N$11/100)*(100%+ENCAISSEMENTS!$O$11)^(J20-1)+ENCAISSEMENTS!$S$31*(100%+index_tarif)^(J20-1))*$I$15*(100%-perte_prod)^(J20-1)</f>
        <v>0</v>
      </c>
      <c r="K21" s="52">
        <f>((ENCAISSEMENTS!$G$31*ENCAISSEMENTS!$H$11/100)*(100%+ENCAISSEMENTS!$I$11)^(K20-1)+(ENCAISSEMENTS!$J$31*ENCAISSEMENTS!$K$11/100)*(100%+ENCAISSEMENTS!$L$11)^(K20-1)+(ENCAISSEMENTS!$M$31*ENCAISSEMENTS!$N$11/100)*(100%+ENCAISSEMENTS!$O$11)^(K20-1)+ENCAISSEMENTS!$S$31*(100%+index_tarif)^(K20-1))*$I$15*(100%-perte_prod)^(K20-1)</f>
        <v>0</v>
      </c>
      <c r="L21" s="52">
        <f>((ENCAISSEMENTS!$G$31*ENCAISSEMENTS!$H$11/100)*(100%+ENCAISSEMENTS!$I$11)^(L20-1)+(ENCAISSEMENTS!$J$31*ENCAISSEMENTS!$K$11/100)*(100%+ENCAISSEMENTS!$L$11)^(L20-1)+(ENCAISSEMENTS!$M$31*ENCAISSEMENTS!$N$11/100)*(100%+ENCAISSEMENTS!$O$11)^(L20-1)+ENCAISSEMENTS!$S$31*(100%+index_tarif)^(L20-1))*$I$15*(100%-perte_prod)^(L20-1)</f>
        <v>0</v>
      </c>
      <c r="M21" s="52">
        <f>((ENCAISSEMENTS!$G$31*ENCAISSEMENTS!$H$11/100)*(100%+ENCAISSEMENTS!$I$11)^(M20-1)+(ENCAISSEMENTS!$J$31*ENCAISSEMENTS!$K$11/100)*(100%+ENCAISSEMENTS!$L$11)^(M20-1)+(ENCAISSEMENTS!$M$31*ENCAISSEMENTS!$N$11/100)*(100%+ENCAISSEMENTS!$O$11)^(M20-1)+ENCAISSEMENTS!$S$31*(100%+index_tarif)^(M20-1))*$I$15*(100%-perte_prod)^(M20-1)</f>
        <v>0</v>
      </c>
      <c r="N21" s="52">
        <f>((ENCAISSEMENTS!$G$31*ENCAISSEMENTS!$H$11/100)*(100%+ENCAISSEMENTS!$I$11)^(N20-1)+(ENCAISSEMENTS!$J$31*ENCAISSEMENTS!$K$11/100)*(100%+ENCAISSEMENTS!$L$11)^(N20-1)+(ENCAISSEMENTS!$M$31*ENCAISSEMENTS!$N$11/100)*(100%+ENCAISSEMENTS!$O$11)^(N20-1)+ENCAISSEMENTS!$S$31*(100%+index_tarif)^(N20-1))*$I$15*(100%-perte_prod)^(N20-1)</f>
        <v>0</v>
      </c>
      <c r="O21" s="52">
        <f>((ENCAISSEMENTS!$G$31*ENCAISSEMENTS!$H$11/100)*(100%+ENCAISSEMENTS!$I$11)^(O20-1)+(ENCAISSEMENTS!$J$31*ENCAISSEMENTS!$K$11/100)*(100%+ENCAISSEMENTS!$L$11)^(O20-1)+(ENCAISSEMENTS!$M$31*ENCAISSEMENTS!$N$11/100)*(100%+ENCAISSEMENTS!$O$11)^(O20-1)+ENCAISSEMENTS!$S$31*(100%+index_tarif)^(O20-1))*$I$15*(100%-perte_prod)^(O20-1)</f>
        <v>0</v>
      </c>
      <c r="P21" s="52">
        <f>((ENCAISSEMENTS!$G$31*ENCAISSEMENTS!$H$11/100)*(100%+ENCAISSEMENTS!$I$11)^(P20-1)+(ENCAISSEMENTS!$J$31*ENCAISSEMENTS!$K$11/100)*(100%+ENCAISSEMENTS!$L$11)^(P20-1)+(ENCAISSEMENTS!$M$31*ENCAISSEMENTS!$N$11/100)*(100%+ENCAISSEMENTS!$O$11)^(P20-1)+ENCAISSEMENTS!$S$31*(100%+index_tarif)^(P20-1))*$I$15*(100%-perte_prod)^(P20-1)</f>
        <v>0</v>
      </c>
      <c r="Q21" s="52">
        <f>((ENCAISSEMENTS!$G$31*ENCAISSEMENTS!$H$11/100)*(100%+ENCAISSEMENTS!$I$11)^(Q20-1)+(ENCAISSEMENTS!$J$31*ENCAISSEMENTS!$K$11/100)*(100%+ENCAISSEMENTS!$L$11)^(Q20-1)+(ENCAISSEMENTS!$M$31*ENCAISSEMENTS!$N$11/100)*(100%+ENCAISSEMENTS!$O$11)^(Q20-1)+ENCAISSEMENTS!$S$31*(100%+index_tarif)^(Q20-1))*$I$15*(100%-perte_prod)^(Q20-1)</f>
        <v>0</v>
      </c>
      <c r="R21" s="52">
        <f>((ENCAISSEMENTS!$G$31*ENCAISSEMENTS!$H$11/100)*(100%+ENCAISSEMENTS!$I$11)^(R20-1)+(ENCAISSEMENTS!$J$31*ENCAISSEMENTS!$K$11/100)*(100%+ENCAISSEMENTS!$L$11)^(R20-1)+(ENCAISSEMENTS!$M$31*ENCAISSEMENTS!$N$11/100)*(100%+ENCAISSEMENTS!$O$11)^(R20-1)+ENCAISSEMENTS!$S$31*(100%+index_tarif)^(R20-1))*$I$15*(100%-perte_prod)^(R20-1)</f>
        <v>0</v>
      </c>
      <c r="S21" s="52">
        <f>((ENCAISSEMENTS!$G$31*ENCAISSEMENTS!$H$11/100)*(100%+ENCAISSEMENTS!$I$11)^(S20-1)+(ENCAISSEMENTS!$J$31*ENCAISSEMENTS!$K$11/100)*(100%+ENCAISSEMENTS!$L$11)^(S20-1)+(ENCAISSEMENTS!$M$31*ENCAISSEMENTS!$N$11/100)*(100%+ENCAISSEMENTS!$O$11)^(S20-1)+ENCAISSEMENTS!$S$31*(100%+index_tarif)^(S20-1))*$I$15*(100%-perte_prod)^(S20-1)</f>
        <v>0</v>
      </c>
      <c r="T21" s="52">
        <f>((ENCAISSEMENTS!$G$31*ENCAISSEMENTS!$H$11/100)*(100%+ENCAISSEMENTS!$I$11)^(T20-1)+(ENCAISSEMENTS!$J$31*ENCAISSEMENTS!$K$11/100)*(100%+ENCAISSEMENTS!$L$11)^(T20-1)+(ENCAISSEMENTS!$M$31*ENCAISSEMENTS!$N$11/100)*(100%+ENCAISSEMENTS!$O$11)^(T20-1)+ENCAISSEMENTS!$S$31*(100%+index_tarif)^(T20-1))*$I$15*(100%-perte_prod)^(T20-1)</f>
        <v>0</v>
      </c>
      <c r="U21" s="52">
        <f>((ENCAISSEMENTS!$G$31*ENCAISSEMENTS!$H$11/100)*(100%+ENCAISSEMENTS!$I$11)^(U20-1)+(ENCAISSEMENTS!$J$31*ENCAISSEMENTS!$K$11/100)*(100%+ENCAISSEMENTS!$L$11)^(U20-1)+(ENCAISSEMENTS!$M$31*ENCAISSEMENTS!$N$11/100)*(100%+ENCAISSEMENTS!$O$11)^(U20-1)+ENCAISSEMENTS!$S$31*(100%+index_tarif)^(U20-1))*$I$15*(100%-perte_prod)^(U20-1)</f>
        <v>0</v>
      </c>
      <c r="V21" s="52">
        <f>((ENCAISSEMENTS!$G$31*ENCAISSEMENTS!$H$11/100)*(100%+ENCAISSEMENTS!$I$11)^(V20-1)+(ENCAISSEMENTS!$J$31*ENCAISSEMENTS!$K$11/100)*(100%+ENCAISSEMENTS!$L$11)^(V20-1)+(ENCAISSEMENTS!$M$31*ENCAISSEMENTS!$N$11/100)*(100%+ENCAISSEMENTS!$O$11)^(V20-1)+ENCAISSEMENTS!$S$31*(100%+index_tarif)^(V20-1))*$I$15*(100%-perte_prod)^(V20-1)</f>
        <v>0</v>
      </c>
      <c r="W21" s="52">
        <f>((ENCAISSEMENTS!$G$31*ENCAISSEMENTS!$H$11/100)*(100%+ENCAISSEMENTS!$I$11)^(W20-1)+(ENCAISSEMENTS!$J$31*ENCAISSEMENTS!$K$11/100)*(100%+ENCAISSEMENTS!$L$11)^(W20-1)+(ENCAISSEMENTS!$M$31*ENCAISSEMENTS!$N$11/100)*(100%+ENCAISSEMENTS!$O$11)^(W20-1)+ENCAISSEMENTS!$S$31*(100%+index_tarif)^(W20-1))*$I$15*(100%-perte_prod)^(W20-1)</f>
        <v>0</v>
      </c>
      <c r="AB21" s="92">
        <f t="shared" si="3"/>
        <v>600</v>
      </c>
      <c r="AF21" s="94">
        <f t="shared" ref="AF21:AF24" si="4">AF20+5%</f>
        <v>0.8500000000000002</v>
      </c>
    </row>
    <row r="22" spans="1:44" ht="16.899999999999999" customHeight="1" x14ac:dyDescent="0.25">
      <c r="A22" s="212" t="s">
        <v>1</v>
      </c>
      <c r="B22" s="213"/>
      <c r="C22" s="105"/>
      <c r="D22" s="52">
        <f>C14+C13</f>
        <v>2295</v>
      </c>
      <c r="E22" s="52">
        <f t="shared" ref="E22:M22" si="5">$C$13*(1+inflation)^(E20-1)</f>
        <v>2340.9</v>
      </c>
      <c r="F22" s="52">
        <f t="shared" si="5"/>
        <v>2387.7179999999998</v>
      </c>
      <c r="G22" s="52">
        <f t="shared" si="5"/>
        <v>2435.4723599999998</v>
      </c>
      <c r="H22" s="52">
        <f t="shared" si="5"/>
        <v>2484.1818072000001</v>
      </c>
      <c r="I22" s="52">
        <f t="shared" si="5"/>
        <v>2533.8654433440001</v>
      </c>
      <c r="J22" s="52">
        <f t="shared" si="5"/>
        <v>2584.5427522108803</v>
      </c>
      <c r="K22" s="52">
        <f t="shared" si="5"/>
        <v>2636.233607255097</v>
      </c>
      <c r="L22" s="52">
        <f t="shared" si="5"/>
        <v>2688.9582794001994</v>
      </c>
      <c r="M22" s="52">
        <f t="shared" si="5"/>
        <v>2742.7374449882032</v>
      </c>
      <c r="N22" s="52">
        <f>(C15+C13+C16/5)*(1+inflation)^(N20-1)</f>
        <v>2797.5921938879674</v>
      </c>
      <c r="O22" s="52">
        <f>($C$13+C16/5)*(1+inflation)^(O20-1)</f>
        <v>2853.5440377657264</v>
      </c>
      <c r="P22" s="52">
        <f>($C$13+C16/5)*(1+inflation)^(P20-1)</f>
        <v>2910.6149185210415</v>
      </c>
      <c r="Q22" s="52">
        <f>($C$13+C16/5)*(1+inflation)^(Q20-1)</f>
        <v>2968.8272168914618</v>
      </c>
      <c r="R22" s="52">
        <f>($C$13+C16/5)*(1+inflation)^(R20-1)</f>
        <v>3028.2037612292916</v>
      </c>
      <c r="S22" s="52">
        <f t="shared" ref="S22:W22" si="6">$C$13*(1+inflation)^(S20-1)</f>
        <v>3088.7678364538765</v>
      </c>
      <c r="T22" s="52">
        <f t="shared" si="6"/>
        <v>3150.5431931829548</v>
      </c>
      <c r="U22" s="52">
        <f t="shared" si="6"/>
        <v>3213.5540570466142</v>
      </c>
      <c r="V22" s="52">
        <f t="shared" si="6"/>
        <v>3277.8251381875457</v>
      </c>
      <c r="W22" s="52">
        <f t="shared" si="6"/>
        <v>3343.3816409512965</v>
      </c>
      <c r="AB22" s="92">
        <f t="shared" si="3"/>
        <v>610</v>
      </c>
      <c r="AF22" s="94">
        <f t="shared" si="4"/>
        <v>0.90000000000000024</v>
      </c>
    </row>
    <row r="23" spans="1:44" s="58" customFormat="1" ht="16.899999999999999" customHeight="1" x14ac:dyDescent="0.25">
      <c r="A23" s="214" t="s">
        <v>5</v>
      </c>
      <c r="B23" s="215"/>
      <c r="C23" s="107"/>
      <c r="D23" s="57">
        <f>D21-D22</f>
        <v>-2295</v>
      </c>
      <c r="E23" s="57">
        <f t="shared" ref="E23:W23" si="7">E21-E22</f>
        <v>-2340.9</v>
      </c>
      <c r="F23" s="57">
        <f t="shared" si="7"/>
        <v>-2387.7179999999998</v>
      </c>
      <c r="G23" s="57">
        <f t="shared" si="7"/>
        <v>-2435.4723599999998</v>
      </c>
      <c r="H23" s="57">
        <f t="shared" si="7"/>
        <v>-2484.1818072000001</v>
      </c>
      <c r="I23" s="57">
        <f t="shared" si="7"/>
        <v>-2533.8654433440001</v>
      </c>
      <c r="J23" s="57">
        <f t="shared" si="7"/>
        <v>-2584.5427522108803</v>
      </c>
      <c r="K23" s="57">
        <f t="shared" si="7"/>
        <v>-2636.233607255097</v>
      </c>
      <c r="L23" s="57">
        <f t="shared" si="7"/>
        <v>-2688.9582794001994</v>
      </c>
      <c r="M23" s="57">
        <f t="shared" si="7"/>
        <v>-2742.7374449882032</v>
      </c>
      <c r="N23" s="57">
        <f t="shared" si="7"/>
        <v>-2797.5921938879674</v>
      </c>
      <c r="O23" s="57">
        <f t="shared" si="7"/>
        <v>-2853.5440377657264</v>
      </c>
      <c r="P23" s="57">
        <f t="shared" si="7"/>
        <v>-2910.6149185210415</v>
      </c>
      <c r="Q23" s="57">
        <f t="shared" si="7"/>
        <v>-2968.8272168914618</v>
      </c>
      <c r="R23" s="57">
        <f t="shared" si="7"/>
        <v>-3028.2037612292916</v>
      </c>
      <c r="S23" s="57">
        <f t="shared" si="7"/>
        <v>-3088.7678364538765</v>
      </c>
      <c r="T23" s="57">
        <f t="shared" si="7"/>
        <v>-3150.5431931829548</v>
      </c>
      <c r="U23" s="57">
        <f t="shared" si="7"/>
        <v>-3213.5540570466142</v>
      </c>
      <c r="V23" s="57">
        <f t="shared" si="7"/>
        <v>-3277.8251381875457</v>
      </c>
      <c r="W23" s="57">
        <f t="shared" si="7"/>
        <v>-3343.3816409512965</v>
      </c>
      <c r="AA23" s="92"/>
      <c r="AB23" s="92">
        <f t="shared" si="3"/>
        <v>620</v>
      </c>
      <c r="AC23" s="92"/>
      <c r="AD23" s="92"/>
      <c r="AE23" s="92"/>
      <c r="AF23" s="94">
        <f t="shared" si="4"/>
        <v>0.95000000000000029</v>
      </c>
      <c r="AG23" s="92"/>
      <c r="AH23" s="92"/>
      <c r="AI23" s="92"/>
    </row>
    <row r="24" spans="1:44" ht="16.899999999999999" customHeight="1" x14ac:dyDescent="0.25">
      <c r="A24" s="212" t="s">
        <v>177</v>
      </c>
      <c r="B24" s="213"/>
      <c r="C24" s="105"/>
      <c r="D24" s="52">
        <f>$I$16+DECAISSEMENTS!$H$56</f>
        <v>0</v>
      </c>
      <c r="E24" s="52">
        <f>$I$16+DECAISSEMENTS!$H$56</f>
        <v>0</v>
      </c>
      <c r="F24" s="52">
        <f>$I$16+DECAISSEMENTS!$H$56</f>
        <v>0</v>
      </c>
      <c r="G24" s="52">
        <f>$I$16+DECAISSEMENTS!$H$56</f>
        <v>0</v>
      </c>
      <c r="H24" s="52">
        <f>$I$16+DECAISSEMENTS!$H$56</f>
        <v>0</v>
      </c>
      <c r="I24" s="52">
        <f>$I$16+DECAISSEMENTS!$H$56</f>
        <v>0</v>
      </c>
      <c r="J24" s="52">
        <f>$I$16+DECAISSEMENTS!$H$56</f>
        <v>0</v>
      </c>
      <c r="K24" s="52">
        <f>$I$16+DECAISSEMENTS!$H$56</f>
        <v>0</v>
      </c>
      <c r="L24" s="52">
        <f>$I$16+DECAISSEMENTS!$H$56</f>
        <v>0</v>
      </c>
      <c r="M24" s="52">
        <f>$I$16+DECAISSEMENTS!$H$56</f>
        <v>0</v>
      </c>
      <c r="N24" s="52">
        <f>$I$16+DECAISSEMENTS!$H$56</f>
        <v>0</v>
      </c>
      <c r="O24" s="52">
        <f>$I$16+DECAISSEMENTS!$H$56</f>
        <v>0</v>
      </c>
      <c r="P24" s="52">
        <f>$I$16+DECAISSEMENTS!$H$56</f>
        <v>0</v>
      </c>
      <c r="Q24" s="52">
        <f>$I$16+DECAISSEMENTS!$H$56</f>
        <v>0</v>
      </c>
      <c r="R24" s="52">
        <f>$I$16+DECAISSEMENTS!$H$56</f>
        <v>0</v>
      </c>
      <c r="S24" s="52">
        <f>$I$16+DECAISSEMENTS!$H$56</f>
        <v>0</v>
      </c>
      <c r="T24" s="52">
        <f>$I$16+DECAISSEMENTS!$H$56</f>
        <v>0</v>
      </c>
      <c r="U24" s="52">
        <f>$I$16+DECAISSEMENTS!$H$56</f>
        <v>0</v>
      </c>
      <c r="V24" s="52">
        <f>$I$16+DECAISSEMENTS!$H$56</f>
        <v>0</v>
      </c>
      <c r="W24" s="52">
        <f>$I$16+DECAISSEMENTS!$H$56</f>
        <v>0</v>
      </c>
      <c r="AB24" s="92">
        <f t="shared" si="3"/>
        <v>630</v>
      </c>
      <c r="AF24" s="94">
        <f t="shared" si="4"/>
        <v>1.0000000000000002</v>
      </c>
    </row>
    <row r="25" spans="1:44" s="58" customFormat="1" ht="16.899999999999999" customHeight="1" x14ac:dyDescent="0.25">
      <c r="A25" s="214" t="s">
        <v>6</v>
      </c>
      <c r="B25" s="215"/>
      <c r="C25" s="107"/>
      <c r="D25" s="57">
        <f>D23-D24</f>
        <v>-2295</v>
      </c>
      <c r="E25" s="57">
        <f t="shared" ref="E25:I25" si="8">E23-E24</f>
        <v>-2340.9</v>
      </c>
      <c r="F25" s="57">
        <f t="shared" si="8"/>
        <v>-2387.7179999999998</v>
      </c>
      <c r="G25" s="57">
        <f t="shared" si="8"/>
        <v>-2435.4723599999998</v>
      </c>
      <c r="H25" s="57">
        <f t="shared" si="8"/>
        <v>-2484.1818072000001</v>
      </c>
      <c r="I25" s="57">
        <f t="shared" si="8"/>
        <v>-2533.8654433440001</v>
      </c>
      <c r="J25" s="57">
        <f t="shared" ref="J25" si="9">J23-J24</f>
        <v>-2584.5427522108803</v>
      </c>
      <c r="K25" s="57">
        <f t="shared" ref="K25" si="10">K23-K24</f>
        <v>-2636.233607255097</v>
      </c>
      <c r="L25" s="57">
        <f t="shared" ref="L25" si="11">L23-L24</f>
        <v>-2688.9582794001994</v>
      </c>
      <c r="M25" s="57">
        <f t="shared" ref="M25" si="12">M23-M24</f>
        <v>-2742.7374449882032</v>
      </c>
      <c r="N25" s="57">
        <f t="shared" ref="N25" si="13">N23-N24</f>
        <v>-2797.5921938879674</v>
      </c>
      <c r="O25" s="57">
        <f t="shared" ref="O25" si="14">O23-O24</f>
        <v>-2853.5440377657264</v>
      </c>
      <c r="P25" s="57">
        <f t="shared" ref="P25" si="15">P23-P24</f>
        <v>-2910.6149185210415</v>
      </c>
      <c r="Q25" s="57">
        <f t="shared" ref="Q25" si="16">Q23-Q24</f>
        <v>-2968.8272168914618</v>
      </c>
      <c r="R25" s="57">
        <f t="shared" ref="R25" si="17">R23-R24</f>
        <v>-3028.2037612292916</v>
      </c>
      <c r="S25" s="57">
        <f t="shared" ref="S25" si="18">S23-S24</f>
        <v>-3088.7678364538765</v>
      </c>
      <c r="T25" s="57">
        <f t="shared" ref="T25" si="19">T23-T24</f>
        <v>-3150.5431931829548</v>
      </c>
      <c r="U25" s="57">
        <f t="shared" ref="U25" si="20">U23-U24</f>
        <v>-3213.5540570466142</v>
      </c>
      <c r="V25" s="57">
        <f t="shared" ref="V25" si="21">V23-V24</f>
        <v>-3277.8251381875457</v>
      </c>
      <c r="W25" s="57">
        <f t="shared" ref="W25" si="22">W23-W24</f>
        <v>-3343.3816409512965</v>
      </c>
      <c r="AA25" s="92"/>
      <c r="AB25" s="92">
        <f t="shared" si="3"/>
        <v>640</v>
      </c>
      <c r="AC25" s="92"/>
      <c r="AD25" s="92"/>
      <c r="AE25" s="92"/>
      <c r="AF25" s="94"/>
      <c r="AG25" s="92"/>
      <c r="AH25" s="92"/>
      <c r="AI25" s="92"/>
    </row>
    <row r="26" spans="1:44" ht="16.899999999999999" customHeight="1" x14ac:dyDescent="0.25">
      <c r="A26" s="212" t="s">
        <v>7</v>
      </c>
      <c r="B26" s="213"/>
      <c r="C26" s="105"/>
      <c r="D26" s="52">
        <f>($C$11-$M$14)/20</f>
        <v>0</v>
      </c>
      <c r="E26" s="52">
        <f t="shared" ref="E26:W26" si="23">($C$11-$M$14)/20</f>
        <v>0</v>
      </c>
      <c r="F26" s="52">
        <f t="shared" si="23"/>
        <v>0</v>
      </c>
      <c r="G26" s="52">
        <f t="shared" si="23"/>
        <v>0</v>
      </c>
      <c r="H26" s="52">
        <f t="shared" si="23"/>
        <v>0</v>
      </c>
      <c r="I26" s="52">
        <f t="shared" si="23"/>
        <v>0</v>
      </c>
      <c r="J26" s="52">
        <f t="shared" si="23"/>
        <v>0</v>
      </c>
      <c r="K26" s="52">
        <f t="shared" si="23"/>
        <v>0</v>
      </c>
      <c r="L26" s="52">
        <f t="shared" si="23"/>
        <v>0</v>
      </c>
      <c r="M26" s="52">
        <f t="shared" si="23"/>
        <v>0</v>
      </c>
      <c r="N26" s="52">
        <f t="shared" si="23"/>
        <v>0</v>
      </c>
      <c r="O26" s="52">
        <f t="shared" si="23"/>
        <v>0</v>
      </c>
      <c r="P26" s="52">
        <f t="shared" si="23"/>
        <v>0</v>
      </c>
      <c r="Q26" s="52">
        <f t="shared" si="23"/>
        <v>0</v>
      </c>
      <c r="R26" s="52">
        <f t="shared" si="23"/>
        <v>0</v>
      </c>
      <c r="S26" s="52">
        <f t="shared" si="23"/>
        <v>0</v>
      </c>
      <c r="T26" s="52">
        <f t="shared" si="23"/>
        <v>0</v>
      </c>
      <c r="U26" s="52">
        <f t="shared" si="23"/>
        <v>0</v>
      </c>
      <c r="V26" s="52">
        <f t="shared" si="23"/>
        <v>0</v>
      </c>
      <c r="W26" s="52">
        <f t="shared" si="23"/>
        <v>0</v>
      </c>
      <c r="AB26" s="92">
        <f t="shared" si="3"/>
        <v>650</v>
      </c>
      <c r="AF26" s="94"/>
    </row>
    <row r="27" spans="1:44" ht="15" x14ac:dyDescent="0.25">
      <c r="A27" s="213" t="s">
        <v>8</v>
      </c>
      <c r="B27" s="225"/>
      <c r="C27" s="106"/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AB27" s="92">
        <f t="shared" si="3"/>
        <v>660</v>
      </c>
      <c r="AF27" s="94"/>
    </row>
    <row r="28" spans="1:44" s="58" customFormat="1" ht="16.899999999999999" customHeight="1" x14ac:dyDescent="0.25">
      <c r="A28" s="214" t="s">
        <v>9</v>
      </c>
      <c r="B28" s="215"/>
      <c r="C28" s="107"/>
      <c r="D28" s="57">
        <f t="shared" ref="D28:W28" si="24">D25-D26-D27</f>
        <v>-2295</v>
      </c>
      <c r="E28" s="57">
        <f t="shared" si="24"/>
        <v>-2340.9</v>
      </c>
      <c r="F28" s="57">
        <f t="shared" si="24"/>
        <v>-2387.7179999999998</v>
      </c>
      <c r="G28" s="57">
        <f t="shared" si="24"/>
        <v>-2435.4723599999998</v>
      </c>
      <c r="H28" s="57">
        <f t="shared" si="24"/>
        <v>-2484.1818072000001</v>
      </c>
      <c r="I28" s="57">
        <f t="shared" si="24"/>
        <v>-2533.8654433440001</v>
      </c>
      <c r="J28" s="57">
        <f t="shared" si="24"/>
        <v>-2584.5427522108803</v>
      </c>
      <c r="K28" s="57">
        <f t="shared" si="24"/>
        <v>-2636.233607255097</v>
      </c>
      <c r="L28" s="57">
        <f t="shared" si="24"/>
        <v>-2688.9582794001994</v>
      </c>
      <c r="M28" s="57">
        <f t="shared" si="24"/>
        <v>-2742.7374449882032</v>
      </c>
      <c r="N28" s="57">
        <f t="shared" si="24"/>
        <v>-2797.5921938879674</v>
      </c>
      <c r="O28" s="57">
        <f t="shared" si="24"/>
        <v>-2853.5440377657264</v>
      </c>
      <c r="P28" s="57">
        <f t="shared" si="24"/>
        <v>-2910.6149185210415</v>
      </c>
      <c r="Q28" s="57">
        <f t="shared" si="24"/>
        <v>-2968.8272168914618</v>
      </c>
      <c r="R28" s="57">
        <f t="shared" si="24"/>
        <v>-3028.2037612292916</v>
      </c>
      <c r="S28" s="57">
        <f t="shared" si="24"/>
        <v>-3088.7678364538765</v>
      </c>
      <c r="T28" s="57">
        <f t="shared" si="24"/>
        <v>-3150.5431931829548</v>
      </c>
      <c r="U28" s="57">
        <f t="shared" si="24"/>
        <v>-3213.5540570466142</v>
      </c>
      <c r="V28" s="57">
        <f t="shared" si="24"/>
        <v>-3277.8251381875457</v>
      </c>
      <c r="W28" s="57">
        <f t="shared" si="24"/>
        <v>-3343.3816409512965</v>
      </c>
      <c r="AA28" s="92"/>
      <c r="AB28" s="92">
        <f t="shared" si="3"/>
        <v>670</v>
      </c>
      <c r="AC28" s="92"/>
      <c r="AD28" s="92"/>
      <c r="AE28" s="92"/>
      <c r="AF28" s="94"/>
      <c r="AG28" s="92"/>
      <c r="AH28" s="92"/>
      <c r="AI28" s="92"/>
    </row>
    <row r="29" spans="1:44" ht="16.899999999999999" customHeight="1" x14ac:dyDescent="0.25">
      <c r="A29" s="230" t="s">
        <v>13</v>
      </c>
      <c r="B29" s="231"/>
      <c r="C29" s="104"/>
      <c r="D29" s="52">
        <f t="shared" ref="D29:W29" si="25">IF(D20&lt;=$M$13,-IPMT($M$12,D20,$M$13,$M$11),0)</f>
        <v>0</v>
      </c>
      <c r="E29" s="52">
        <f t="shared" si="25"/>
        <v>0</v>
      </c>
      <c r="F29" s="52">
        <f t="shared" si="25"/>
        <v>0</v>
      </c>
      <c r="G29" s="52">
        <f t="shared" si="25"/>
        <v>0</v>
      </c>
      <c r="H29" s="52">
        <f t="shared" si="25"/>
        <v>0</v>
      </c>
      <c r="I29" s="52">
        <f t="shared" si="25"/>
        <v>0</v>
      </c>
      <c r="J29" s="52">
        <f t="shared" si="25"/>
        <v>0</v>
      </c>
      <c r="K29" s="52">
        <f t="shared" si="25"/>
        <v>0</v>
      </c>
      <c r="L29" s="52">
        <f t="shared" si="25"/>
        <v>0</v>
      </c>
      <c r="M29" s="52">
        <f t="shared" si="25"/>
        <v>0</v>
      </c>
      <c r="N29" s="52">
        <f t="shared" si="25"/>
        <v>0</v>
      </c>
      <c r="O29" s="52">
        <f t="shared" si="25"/>
        <v>0</v>
      </c>
      <c r="P29" s="52">
        <f t="shared" si="25"/>
        <v>0</v>
      </c>
      <c r="Q29" s="52">
        <f t="shared" si="25"/>
        <v>0</v>
      </c>
      <c r="R29" s="52">
        <f t="shared" si="25"/>
        <v>0</v>
      </c>
      <c r="S29" s="52">
        <f t="shared" si="25"/>
        <v>0</v>
      </c>
      <c r="T29" s="52">
        <f t="shared" si="25"/>
        <v>0</v>
      </c>
      <c r="U29" s="52">
        <f t="shared" si="25"/>
        <v>0</v>
      </c>
      <c r="V29" s="52">
        <f t="shared" si="25"/>
        <v>0</v>
      </c>
      <c r="W29" s="52">
        <f t="shared" si="25"/>
        <v>0</v>
      </c>
      <c r="AB29" s="92">
        <f t="shared" si="3"/>
        <v>680</v>
      </c>
      <c r="AF29" s="94"/>
    </row>
    <row r="30" spans="1:44" ht="15" x14ac:dyDescent="0.25">
      <c r="A30" s="212" t="s">
        <v>63</v>
      </c>
      <c r="B30" s="213"/>
      <c r="C30" s="105"/>
      <c r="D30" s="52">
        <f t="shared" ref="D30:W30" si="26">IF(D20&lt;=$Q$10,$Q$9*$Q$8,0)</f>
        <v>0</v>
      </c>
      <c r="E30" s="52">
        <f t="shared" si="26"/>
        <v>0</v>
      </c>
      <c r="F30" s="52">
        <f t="shared" si="26"/>
        <v>0</v>
      </c>
      <c r="G30" s="52">
        <f t="shared" si="26"/>
        <v>0</v>
      </c>
      <c r="H30" s="52">
        <f t="shared" si="26"/>
        <v>0</v>
      </c>
      <c r="I30" s="52">
        <f t="shared" si="26"/>
        <v>0</v>
      </c>
      <c r="J30" s="52">
        <f t="shared" si="26"/>
        <v>0</v>
      </c>
      <c r="K30" s="52">
        <f t="shared" si="26"/>
        <v>0</v>
      </c>
      <c r="L30" s="52">
        <f t="shared" si="26"/>
        <v>0</v>
      </c>
      <c r="M30" s="52">
        <f t="shared" si="26"/>
        <v>0</v>
      </c>
      <c r="N30" s="52">
        <f t="shared" si="26"/>
        <v>0</v>
      </c>
      <c r="O30" s="52">
        <f t="shared" si="26"/>
        <v>0</v>
      </c>
      <c r="P30" s="52">
        <f t="shared" si="26"/>
        <v>0</v>
      </c>
      <c r="Q30" s="52">
        <f t="shared" si="26"/>
        <v>0</v>
      </c>
      <c r="R30" s="52">
        <f t="shared" si="26"/>
        <v>0</v>
      </c>
      <c r="S30" s="52">
        <f t="shared" si="26"/>
        <v>0</v>
      </c>
      <c r="T30" s="52">
        <f t="shared" si="26"/>
        <v>0</v>
      </c>
      <c r="U30" s="52">
        <f t="shared" si="26"/>
        <v>0</v>
      </c>
      <c r="V30" s="52">
        <f t="shared" si="26"/>
        <v>0</v>
      </c>
      <c r="W30" s="52">
        <f t="shared" si="26"/>
        <v>0</v>
      </c>
      <c r="AB30" s="92">
        <f t="shared" si="3"/>
        <v>690</v>
      </c>
      <c r="AF30" s="94"/>
    </row>
    <row r="31" spans="1:44" s="58" customFormat="1" ht="16.899999999999999" customHeight="1" x14ac:dyDescent="0.25">
      <c r="A31" s="214" t="s">
        <v>10</v>
      </c>
      <c r="B31" s="215"/>
      <c r="C31" s="107"/>
      <c r="D31" s="57">
        <f t="shared" ref="D31:W31" si="27">D28-D29-D30</f>
        <v>-2295</v>
      </c>
      <c r="E31" s="57">
        <f t="shared" si="27"/>
        <v>-2340.9</v>
      </c>
      <c r="F31" s="57">
        <f t="shared" si="27"/>
        <v>-2387.7179999999998</v>
      </c>
      <c r="G31" s="57">
        <f t="shared" si="27"/>
        <v>-2435.4723599999998</v>
      </c>
      <c r="H31" s="57">
        <f t="shared" si="27"/>
        <v>-2484.1818072000001</v>
      </c>
      <c r="I31" s="57">
        <f t="shared" si="27"/>
        <v>-2533.8654433440001</v>
      </c>
      <c r="J31" s="57">
        <f t="shared" si="27"/>
        <v>-2584.5427522108803</v>
      </c>
      <c r="K31" s="57">
        <f t="shared" si="27"/>
        <v>-2636.233607255097</v>
      </c>
      <c r="L31" s="57">
        <f t="shared" si="27"/>
        <v>-2688.9582794001994</v>
      </c>
      <c r="M31" s="57">
        <f t="shared" si="27"/>
        <v>-2742.7374449882032</v>
      </c>
      <c r="N31" s="57">
        <f t="shared" si="27"/>
        <v>-2797.5921938879674</v>
      </c>
      <c r="O31" s="57">
        <f t="shared" si="27"/>
        <v>-2853.5440377657264</v>
      </c>
      <c r="P31" s="57">
        <f t="shared" si="27"/>
        <v>-2910.6149185210415</v>
      </c>
      <c r="Q31" s="57">
        <f t="shared" si="27"/>
        <v>-2968.8272168914618</v>
      </c>
      <c r="R31" s="57">
        <f t="shared" si="27"/>
        <v>-3028.2037612292916</v>
      </c>
      <c r="S31" s="57">
        <f t="shared" si="27"/>
        <v>-3088.7678364538765</v>
      </c>
      <c r="T31" s="57">
        <f t="shared" si="27"/>
        <v>-3150.5431931829548</v>
      </c>
      <c r="U31" s="57">
        <f t="shared" si="27"/>
        <v>-3213.5540570466142</v>
      </c>
      <c r="V31" s="57">
        <f t="shared" si="27"/>
        <v>-3277.8251381875457</v>
      </c>
      <c r="W31" s="57">
        <f t="shared" si="27"/>
        <v>-3343.3816409512965</v>
      </c>
      <c r="AA31" s="92"/>
      <c r="AB31" s="92">
        <f t="shared" si="3"/>
        <v>700</v>
      </c>
      <c r="AC31" s="92"/>
      <c r="AD31" s="92"/>
      <c r="AE31" s="92"/>
      <c r="AF31" s="94"/>
      <c r="AG31" s="92"/>
      <c r="AH31" s="92"/>
      <c r="AI31" s="92"/>
    </row>
    <row r="32" spans="1:44" ht="15" x14ac:dyDescent="0.25">
      <c r="A32" s="212" t="s">
        <v>47</v>
      </c>
      <c r="B32" s="213"/>
      <c r="C32" s="105"/>
      <c r="D32" s="52">
        <f>IF(D31&lt;0,D31,0)</f>
        <v>-2295</v>
      </c>
      <c r="E32" s="52">
        <f>IF(D32+E31&lt;0,D32+E31,0)</f>
        <v>-4635.8999999999996</v>
      </c>
      <c r="F32" s="52">
        <f t="shared" ref="F32:H32" si="28">IF(E32+F31&lt;0,E32+F31,0)</f>
        <v>-7023.6179999999995</v>
      </c>
      <c r="G32" s="52">
        <f t="shared" si="28"/>
        <v>-9459.0903599999983</v>
      </c>
      <c r="H32" s="52">
        <f t="shared" si="28"/>
        <v>-11943.272167199999</v>
      </c>
      <c r="I32" s="52">
        <f t="shared" ref="I32" si="29">IF(H32+I31&lt;0,H32+I31,0)</f>
        <v>-14477.137610543999</v>
      </c>
      <c r="J32" s="52">
        <f t="shared" ref="J32:K32" si="30">IF(I32+J31&lt;0,I32+J31,0)</f>
        <v>-17061.68036275488</v>
      </c>
      <c r="K32" s="52">
        <f t="shared" si="30"/>
        <v>-19697.913970009977</v>
      </c>
      <c r="L32" s="52">
        <f t="shared" ref="L32" si="31">IF(K32+L31&lt;0,K32+L31,0)</f>
        <v>-22386.872249410175</v>
      </c>
      <c r="M32" s="52">
        <f t="shared" ref="M32:N32" si="32">IF(L32+M31&lt;0,L32+M31,0)</f>
        <v>-25129.609694398379</v>
      </c>
      <c r="N32" s="52">
        <f t="shared" si="32"/>
        <v>-27927.201888286349</v>
      </c>
      <c r="O32" s="52">
        <f t="shared" ref="O32" si="33">IF(N32+O31&lt;0,N32+O31,0)</f>
        <v>-30780.745926052074</v>
      </c>
      <c r="P32" s="52">
        <f t="shared" ref="P32:Q32" si="34">IF(O32+P31&lt;0,O32+P31,0)</f>
        <v>-33691.360844573115</v>
      </c>
      <c r="Q32" s="52">
        <f t="shared" si="34"/>
        <v>-36660.188061464578</v>
      </c>
      <c r="R32" s="52">
        <f t="shared" ref="R32" si="35">IF(Q32+R31&lt;0,Q32+R31,0)</f>
        <v>-39688.391822693869</v>
      </c>
      <c r="S32" s="52">
        <f t="shared" ref="S32:T32" si="36">IF(R32+S31&lt;0,R32+S31,0)</f>
        <v>-42777.159659147743</v>
      </c>
      <c r="T32" s="52">
        <f t="shared" si="36"/>
        <v>-45927.702852330694</v>
      </c>
      <c r="U32" s="52">
        <f t="shared" ref="U32" si="37">IF(T32+U31&lt;0,T32+U31,0)</f>
        <v>-49141.256909377305</v>
      </c>
      <c r="V32" s="52">
        <f t="shared" ref="V32:W32" si="38">IF(U32+V31&lt;0,U32+V31,0)</f>
        <v>-52419.082047564851</v>
      </c>
      <c r="W32" s="52">
        <f t="shared" si="38"/>
        <v>-55762.463688516145</v>
      </c>
      <c r="AB32" s="92">
        <f t="shared" si="3"/>
        <v>710</v>
      </c>
      <c r="AF32" s="94"/>
    </row>
    <row r="33" spans="1:35" ht="15" x14ac:dyDescent="0.25">
      <c r="A33" s="212" t="s">
        <v>74</v>
      </c>
      <c r="B33" s="213"/>
      <c r="C33" s="105"/>
      <c r="D33" s="52">
        <f>IF(D31&lt;0,0,IF(D31&lt;38120,IF(B4="SAS",0.15*D31,0.15*D31*(1-I11)),IF(B4="SAS",0.28*D31,0.28*D31*(1-I11))))</f>
        <v>0</v>
      </c>
      <c r="E33" s="52">
        <f>IF((E31+D32)&lt;0,0,IF(E31&lt;38120,IF($B$4="SAS",0.15*(E31+D32),0.15*(E31+D32)*(1-$I$11)),IF($B$4="SAS",0.28*(E31+D32),0.28*(1-$I$11)*(E31+D32))))</f>
        <v>0</v>
      </c>
      <c r="F33" s="52">
        <f>IF((F31+E32)&lt;0,0,IF(F31&lt;38120,IF($B$4="SAS",0.15*(F31+E32),0.15*(F31+E32)*(1-$I$11)),IF($B$4="SAS",0.28*(F31+E32),0.28*(1-$I$11)*(F31+E32))))</f>
        <v>0</v>
      </c>
      <c r="G33" s="52">
        <f>IF((G31+F32)&lt;0,0,IF(G31&lt;38120,IF($B$4="SAS",0.15*(G31+F32),0.15*(G31+F32)*(1-$I$12)),IF($B$4="SAS",0.28*(G31+F32),0.28*(1-$I$12)*(G31+F32))))</f>
        <v>0</v>
      </c>
      <c r="H33" s="52">
        <f t="shared" ref="H33:W33" si="39">IF((H31+G32)&lt;0,0,IF(H31&lt;38120,IF($B$4="SAS",0.15*(H31+G32),0.15*(H31+G32)*(1-$I$12)),IF($B$4="SAS",0.28*(H31+G32),0.28*(1-$I$12)*(H31+G32))))</f>
        <v>0</v>
      </c>
      <c r="I33" s="52">
        <f t="shared" si="39"/>
        <v>0</v>
      </c>
      <c r="J33" s="52">
        <f t="shared" si="39"/>
        <v>0</v>
      </c>
      <c r="K33" s="52">
        <f t="shared" si="39"/>
        <v>0</v>
      </c>
      <c r="L33" s="52">
        <f t="shared" si="39"/>
        <v>0</v>
      </c>
      <c r="M33" s="52">
        <f t="shared" si="39"/>
        <v>0</v>
      </c>
      <c r="N33" s="52">
        <f t="shared" si="39"/>
        <v>0</v>
      </c>
      <c r="O33" s="52">
        <f t="shared" si="39"/>
        <v>0</v>
      </c>
      <c r="P33" s="52">
        <f t="shared" si="39"/>
        <v>0</v>
      </c>
      <c r="Q33" s="52">
        <f t="shared" si="39"/>
        <v>0</v>
      </c>
      <c r="R33" s="52">
        <f t="shared" si="39"/>
        <v>0</v>
      </c>
      <c r="S33" s="52">
        <f t="shared" si="39"/>
        <v>0</v>
      </c>
      <c r="T33" s="52">
        <f t="shared" si="39"/>
        <v>0</v>
      </c>
      <c r="U33" s="52">
        <f t="shared" si="39"/>
        <v>0</v>
      </c>
      <c r="V33" s="52">
        <f t="shared" si="39"/>
        <v>0</v>
      </c>
      <c r="W33" s="52">
        <f t="shared" si="39"/>
        <v>0</v>
      </c>
      <c r="AB33" s="92">
        <f t="shared" si="3"/>
        <v>720</v>
      </c>
      <c r="AF33" s="94"/>
    </row>
    <row r="34" spans="1:35" s="58" customFormat="1" ht="16.899999999999999" customHeight="1" x14ac:dyDescent="0.25">
      <c r="A34" s="214" t="s">
        <v>11</v>
      </c>
      <c r="B34" s="215"/>
      <c r="C34" s="107"/>
      <c r="D34" s="57">
        <f>D31-D33</f>
        <v>-2295</v>
      </c>
      <c r="E34" s="57">
        <f t="shared" ref="E34:W34" si="40">E31-E33</f>
        <v>-2340.9</v>
      </c>
      <c r="F34" s="57">
        <f t="shared" si="40"/>
        <v>-2387.7179999999998</v>
      </c>
      <c r="G34" s="57">
        <f t="shared" si="40"/>
        <v>-2435.4723599999998</v>
      </c>
      <c r="H34" s="57">
        <f t="shared" si="40"/>
        <v>-2484.1818072000001</v>
      </c>
      <c r="I34" s="57">
        <f t="shared" si="40"/>
        <v>-2533.8654433440001</v>
      </c>
      <c r="J34" s="57">
        <f t="shared" si="40"/>
        <v>-2584.5427522108803</v>
      </c>
      <c r="K34" s="57">
        <f t="shared" si="40"/>
        <v>-2636.233607255097</v>
      </c>
      <c r="L34" s="57">
        <f t="shared" si="40"/>
        <v>-2688.9582794001994</v>
      </c>
      <c r="M34" s="57">
        <f t="shared" si="40"/>
        <v>-2742.7374449882032</v>
      </c>
      <c r="N34" s="57">
        <f t="shared" si="40"/>
        <v>-2797.5921938879674</v>
      </c>
      <c r="O34" s="57">
        <f t="shared" si="40"/>
        <v>-2853.5440377657264</v>
      </c>
      <c r="P34" s="57">
        <f t="shared" si="40"/>
        <v>-2910.6149185210415</v>
      </c>
      <c r="Q34" s="57">
        <f t="shared" si="40"/>
        <v>-2968.8272168914618</v>
      </c>
      <c r="R34" s="57">
        <f t="shared" si="40"/>
        <v>-3028.2037612292916</v>
      </c>
      <c r="S34" s="57">
        <f t="shared" si="40"/>
        <v>-3088.7678364538765</v>
      </c>
      <c r="T34" s="57">
        <f t="shared" si="40"/>
        <v>-3150.5431931829548</v>
      </c>
      <c r="U34" s="57">
        <f t="shared" si="40"/>
        <v>-3213.5540570466142</v>
      </c>
      <c r="V34" s="57">
        <f t="shared" si="40"/>
        <v>-3277.8251381875457</v>
      </c>
      <c r="W34" s="57">
        <f t="shared" si="40"/>
        <v>-3343.3816409512965</v>
      </c>
      <c r="AA34" s="92"/>
      <c r="AB34" s="92">
        <f t="shared" si="3"/>
        <v>730</v>
      </c>
      <c r="AC34" s="92"/>
      <c r="AD34" s="92"/>
      <c r="AE34" s="92"/>
      <c r="AF34" s="94"/>
      <c r="AG34" s="92"/>
      <c r="AH34" s="92"/>
      <c r="AI34" s="92"/>
    </row>
    <row r="35" spans="1:35" s="61" customFormat="1" ht="16.899999999999999" customHeight="1" x14ac:dyDescent="0.25">
      <c r="A35" s="59"/>
      <c r="B35" s="59"/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AA35" s="92"/>
      <c r="AB35" s="92">
        <f t="shared" si="3"/>
        <v>740</v>
      </c>
      <c r="AC35" s="92"/>
      <c r="AD35" s="92"/>
      <c r="AE35" s="92"/>
      <c r="AF35" s="92"/>
      <c r="AG35" s="92"/>
      <c r="AH35" s="92"/>
      <c r="AI35" s="92"/>
    </row>
    <row r="36" spans="1:35" ht="16.899999999999999" customHeight="1" x14ac:dyDescent="0.25">
      <c r="A36" s="212" t="s">
        <v>32</v>
      </c>
      <c r="B36" s="213"/>
      <c r="C36" s="105"/>
      <c r="D36" s="52">
        <f t="shared" ref="D36:W36" si="41">D34+D27+D26</f>
        <v>-2295</v>
      </c>
      <c r="E36" s="52">
        <f t="shared" si="41"/>
        <v>-2340.9</v>
      </c>
      <c r="F36" s="52">
        <f t="shared" si="41"/>
        <v>-2387.7179999999998</v>
      </c>
      <c r="G36" s="52">
        <f t="shared" si="41"/>
        <v>-2435.4723599999998</v>
      </c>
      <c r="H36" s="52">
        <f t="shared" si="41"/>
        <v>-2484.1818072000001</v>
      </c>
      <c r="I36" s="52">
        <f t="shared" si="41"/>
        <v>-2533.8654433440001</v>
      </c>
      <c r="J36" s="52">
        <f t="shared" si="41"/>
        <v>-2584.5427522108803</v>
      </c>
      <c r="K36" s="52">
        <f t="shared" si="41"/>
        <v>-2636.233607255097</v>
      </c>
      <c r="L36" s="52">
        <f t="shared" si="41"/>
        <v>-2688.9582794001994</v>
      </c>
      <c r="M36" s="52">
        <f t="shared" si="41"/>
        <v>-2742.7374449882032</v>
      </c>
      <c r="N36" s="52">
        <f t="shared" si="41"/>
        <v>-2797.5921938879674</v>
      </c>
      <c r="O36" s="52">
        <f t="shared" si="41"/>
        <v>-2853.5440377657264</v>
      </c>
      <c r="P36" s="52">
        <f t="shared" si="41"/>
        <v>-2910.6149185210415</v>
      </c>
      <c r="Q36" s="52">
        <f t="shared" si="41"/>
        <v>-2968.8272168914618</v>
      </c>
      <c r="R36" s="52">
        <f t="shared" si="41"/>
        <v>-3028.2037612292916</v>
      </c>
      <c r="S36" s="52">
        <f t="shared" si="41"/>
        <v>-3088.7678364538765</v>
      </c>
      <c r="T36" s="52">
        <f t="shared" si="41"/>
        <v>-3150.5431931829548</v>
      </c>
      <c r="U36" s="52">
        <f t="shared" si="41"/>
        <v>-3213.5540570466142</v>
      </c>
      <c r="V36" s="52">
        <f t="shared" si="41"/>
        <v>-3277.8251381875457</v>
      </c>
      <c r="W36" s="52">
        <f t="shared" si="41"/>
        <v>-3343.3816409512965</v>
      </c>
      <c r="AB36" s="92">
        <f t="shared" si="3"/>
        <v>750</v>
      </c>
      <c r="AF36" s="94"/>
    </row>
    <row r="37" spans="1:35" ht="15" x14ac:dyDescent="0.25">
      <c r="A37" s="213" t="s">
        <v>21</v>
      </c>
      <c r="B37" s="225"/>
      <c r="C37" s="111">
        <f>-C11+M14</f>
        <v>0</v>
      </c>
      <c r="D37" s="52">
        <f>D36+D30+D29</f>
        <v>-2295</v>
      </c>
      <c r="E37" s="52">
        <f>E36+E30+E29</f>
        <v>-2340.9</v>
      </c>
      <c r="F37" s="52">
        <f t="shared" ref="F37:W37" si="42">F36+F30+F29</f>
        <v>-2387.7179999999998</v>
      </c>
      <c r="G37" s="52">
        <f t="shared" si="42"/>
        <v>-2435.4723599999998</v>
      </c>
      <c r="H37" s="52">
        <f t="shared" si="42"/>
        <v>-2484.1818072000001</v>
      </c>
      <c r="I37" s="52">
        <f t="shared" si="42"/>
        <v>-2533.8654433440001</v>
      </c>
      <c r="J37" s="52">
        <f t="shared" si="42"/>
        <v>-2584.5427522108803</v>
      </c>
      <c r="K37" s="52">
        <f t="shared" si="42"/>
        <v>-2636.233607255097</v>
      </c>
      <c r="L37" s="52">
        <f t="shared" si="42"/>
        <v>-2688.9582794001994</v>
      </c>
      <c r="M37" s="52">
        <f t="shared" si="42"/>
        <v>-2742.7374449882032</v>
      </c>
      <c r="N37" s="52">
        <f t="shared" si="42"/>
        <v>-2797.5921938879674</v>
      </c>
      <c r="O37" s="52">
        <f t="shared" si="42"/>
        <v>-2853.5440377657264</v>
      </c>
      <c r="P37" s="52">
        <f t="shared" si="42"/>
        <v>-2910.6149185210415</v>
      </c>
      <c r="Q37" s="52">
        <f t="shared" si="42"/>
        <v>-2968.8272168914618</v>
      </c>
      <c r="R37" s="52">
        <f t="shared" si="42"/>
        <v>-3028.2037612292916</v>
      </c>
      <c r="S37" s="52">
        <f t="shared" si="42"/>
        <v>-3088.7678364538765</v>
      </c>
      <c r="T37" s="52">
        <f t="shared" si="42"/>
        <v>-3150.5431931829548</v>
      </c>
      <c r="U37" s="52">
        <f t="shared" si="42"/>
        <v>-3213.5540570466142</v>
      </c>
      <c r="V37" s="52">
        <f t="shared" si="42"/>
        <v>-3277.8251381875457</v>
      </c>
      <c r="W37" s="52">
        <f t="shared" si="42"/>
        <v>-3343.3816409512965</v>
      </c>
      <c r="AB37" s="92">
        <f t="shared" si="3"/>
        <v>760</v>
      </c>
      <c r="AF37" s="94"/>
    </row>
    <row r="38" spans="1:35" ht="15" x14ac:dyDescent="0.25">
      <c r="A38" s="226" t="s">
        <v>128</v>
      </c>
      <c r="B38" s="226"/>
      <c r="C38" s="112">
        <f>-M8-Q8</f>
        <v>0</v>
      </c>
      <c r="D38" s="52">
        <f>D36</f>
        <v>-2295</v>
      </c>
      <c r="E38" s="52">
        <f t="shared" ref="E38:W38" si="43">E36</f>
        <v>-2340.9</v>
      </c>
      <c r="F38" s="52">
        <f t="shared" si="43"/>
        <v>-2387.7179999999998</v>
      </c>
      <c r="G38" s="52">
        <f t="shared" si="43"/>
        <v>-2435.4723599999998</v>
      </c>
      <c r="H38" s="52">
        <f t="shared" si="43"/>
        <v>-2484.1818072000001</v>
      </c>
      <c r="I38" s="52">
        <f t="shared" si="43"/>
        <v>-2533.8654433440001</v>
      </c>
      <c r="J38" s="52">
        <f t="shared" si="43"/>
        <v>-2584.5427522108803</v>
      </c>
      <c r="K38" s="52">
        <f t="shared" si="43"/>
        <v>-2636.233607255097</v>
      </c>
      <c r="L38" s="52">
        <f t="shared" si="43"/>
        <v>-2688.9582794001994</v>
      </c>
      <c r="M38" s="52">
        <f t="shared" si="43"/>
        <v>-2742.7374449882032</v>
      </c>
      <c r="N38" s="52">
        <f t="shared" si="43"/>
        <v>-2797.5921938879674</v>
      </c>
      <c r="O38" s="52">
        <f t="shared" si="43"/>
        <v>-2853.5440377657264</v>
      </c>
      <c r="P38" s="52">
        <f t="shared" si="43"/>
        <v>-2910.6149185210415</v>
      </c>
      <c r="Q38" s="52">
        <f t="shared" si="43"/>
        <v>-2968.8272168914618</v>
      </c>
      <c r="R38" s="52">
        <f t="shared" si="43"/>
        <v>-3028.2037612292916</v>
      </c>
      <c r="S38" s="52">
        <f t="shared" si="43"/>
        <v>-3088.7678364538765</v>
      </c>
      <c r="T38" s="52">
        <f t="shared" si="43"/>
        <v>-3150.5431931829548</v>
      </c>
      <c r="U38" s="52">
        <f t="shared" si="43"/>
        <v>-3213.5540570466142</v>
      </c>
      <c r="V38" s="52">
        <f t="shared" si="43"/>
        <v>-3277.8251381875457</v>
      </c>
      <c r="W38" s="52">
        <f t="shared" si="43"/>
        <v>-3343.3816409512965</v>
      </c>
      <c r="AB38" s="92">
        <f t="shared" si="3"/>
        <v>770</v>
      </c>
      <c r="AF38" s="94"/>
    </row>
    <row r="39" spans="1:35" ht="16.899999999999999" customHeight="1" x14ac:dyDescent="0.25">
      <c r="A39" s="212" t="s">
        <v>15</v>
      </c>
      <c r="B39" s="213"/>
      <c r="C39" s="105"/>
      <c r="D39" s="52" t="e">
        <f t="shared" ref="D39:W39" si="44">D36*(1+taux_actu)^-(D20-1)</f>
        <v>#DIV/0!</v>
      </c>
      <c r="E39" s="52" t="e">
        <f t="shared" si="44"/>
        <v>#DIV/0!</v>
      </c>
      <c r="F39" s="52" t="e">
        <f t="shared" si="44"/>
        <v>#DIV/0!</v>
      </c>
      <c r="G39" s="52" t="e">
        <f t="shared" si="44"/>
        <v>#DIV/0!</v>
      </c>
      <c r="H39" s="52" t="e">
        <f t="shared" si="44"/>
        <v>#DIV/0!</v>
      </c>
      <c r="I39" s="52" t="e">
        <f t="shared" si="44"/>
        <v>#DIV/0!</v>
      </c>
      <c r="J39" s="52" t="e">
        <f t="shared" si="44"/>
        <v>#DIV/0!</v>
      </c>
      <c r="K39" s="52" t="e">
        <f t="shared" si="44"/>
        <v>#DIV/0!</v>
      </c>
      <c r="L39" s="52" t="e">
        <f t="shared" si="44"/>
        <v>#DIV/0!</v>
      </c>
      <c r="M39" s="52" t="e">
        <f t="shared" si="44"/>
        <v>#DIV/0!</v>
      </c>
      <c r="N39" s="52" t="e">
        <f t="shared" si="44"/>
        <v>#DIV/0!</v>
      </c>
      <c r="O39" s="52" t="e">
        <f t="shared" si="44"/>
        <v>#DIV/0!</v>
      </c>
      <c r="P39" s="52" t="e">
        <f t="shared" si="44"/>
        <v>#DIV/0!</v>
      </c>
      <c r="Q39" s="52" t="e">
        <f t="shared" si="44"/>
        <v>#DIV/0!</v>
      </c>
      <c r="R39" s="52" t="e">
        <f t="shared" si="44"/>
        <v>#DIV/0!</v>
      </c>
      <c r="S39" s="52" t="e">
        <f t="shared" si="44"/>
        <v>#DIV/0!</v>
      </c>
      <c r="T39" s="52" t="e">
        <f t="shared" si="44"/>
        <v>#DIV/0!</v>
      </c>
      <c r="U39" s="52" t="e">
        <f t="shared" si="44"/>
        <v>#DIV/0!</v>
      </c>
      <c r="V39" s="52" t="e">
        <f t="shared" si="44"/>
        <v>#DIV/0!</v>
      </c>
      <c r="W39" s="52" t="e">
        <f t="shared" si="44"/>
        <v>#DIV/0!</v>
      </c>
      <c r="AB39" s="92">
        <f t="shared" si="3"/>
        <v>780</v>
      </c>
      <c r="AF39" s="94"/>
    </row>
    <row r="40" spans="1:35" s="58" customFormat="1" ht="16.899999999999999" customHeight="1" x14ac:dyDescent="0.25">
      <c r="A40" s="214" t="s">
        <v>16</v>
      </c>
      <c r="B40" s="215"/>
      <c r="C40" s="113">
        <f>-C11+M14</f>
        <v>0</v>
      </c>
      <c r="D40" s="57" t="e">
        <f>D39+C40</f>
        <v>#DIV/0!</v>
      </c>
      <c r="E40" s="57" t="e">
        <f>D40+E39</f>
        <v>#DIV/0!</v>
      </c>
      <c r="F40" s="57" t="e">
        <f t="shared" ref="F40:V40" si="45">E40+F39</f>
        <v>#DIV/0!</v>
      </c>
      <c r="G40" s="57" t="e">
        <f t="shared" si="45"/>
        <v>#DIV/0!</v>
      </c>
      <c r="H40" s="57" t="e">
        <f t="shared" si="45"/>
        <v>#DIV/0!</v>
      </c>
      <c r="I40" s="57" t="e">
        <f t="shared" si="45"/>
        <v>#DIV/0!</v>
      </c>
      <c r="J40" s="57" t="e">
        <f t="shared" si="45"/>
        <v>#DIV/0!</v>
      </c>
      <c r="K40" s="57" t="e">
        <f t="shared" si="45"/>
        <v>#DIV/0!</v>
      </c>
      <c r="L40" s="57" t="e">
        <f t="shared" si="45"/>
        <v>#DIV/0!</v>
      </c>
      <c r="M40" s="57" t="e">
        <f t="shared" si="45"/>
        <v>#DIV/0!</v>
      </c>
      <c r="N40" s="57" t="e">
        <f t="shared" si="45"/>
        <v>#DIV/0!</v>
      </c>
      <c r="O40" s="57" t="e">
        <f t="shared" si="45"/>
        <v>#DIV/0!</v>
      </c>
      <c r="P40" s="57" t="e">
        <f t="shared" si="45"/>
        <v>#DIV/0!</v>
      </c>
      <c r="Q40" s="57" t="e">
        <f t="shared" si="45"/>
        <v>#DIV/0!</v>
      </c>
      <c r="R40" s="57" t="e">
        <f t="shared" si="45"/>
        <v>#DIV/0!</v>
      </c>
      <c r="S40" s="57" t="e">
        <f t="shared" si="45"/>
        <v>#DIV/0!</v>
      </c>
      <c r="T40" s="57" t="e">
        <f t="shared" si="45"/>
        <v>#DIV/0!</v>
      </c>
      <c r="U40" s="57" t="e">
        <f t="shared" si="45"/>
        <v>#DIV/0!</v>
      </c>
      <c r="V40" s="57" t="e">
        <f t="shared" si="45"/>
        <v>#DIV/0!</v>
      </c>
      <c r="W40" s="57" t="e">
        <f>V40+W39</f>
        <v>#DIV/0!</v>
      </c>
      <c r="AA40" s="92"/>
      <c r="AB40" s="92">
        <f t="shared" si="3"/>
        <v>790</v>
      </c>
      <c r="AC40" s="92"/>
      <c r="AD40" s="92"/>
      <c r="AE40" s="92"/>
      <c r="AF40" s="94"/>
      <c r="AG40" s="92"/>
      <c r="AH40" s="92"/>
      <c r="AI40" s="92"/>
    </row>
    <row r="41" spans="1:35" ht="16.899999999999999" customHeight="1" x14ac:dyDescent="0.25">
      <c r="AB41" s="92">
        <f t="shared" si="3"/>
        <v>800</v>
      </c>
    </row>
    <row r="42" spans="1:35" ht="15" x14ac:dyDescent="0.25">
      <c r="A42" s="212" t="s">
        <v>33</v>
      </c>
      <c r="B42" s="213"/>
      <c r="C42" s="105"/>
      <c r="D42" s="52">
        <f>IF(D20&lt;4,IF(D34&lt;0,0,$I$11*D34),$I$12*D34)</f>
        <v>0</v>
      </c>
      <c r="E42" s="52">
        <f t="shared" ref="E42:W42" si="46">IF(E20&lt;4,IF(E34&lt;0,0,$I$11*E34),$I$12*E34)</f>
        <v>0</v>
      </c>
      <c r="F42" s="52">
        <f t="shared" si="46"/>
        <v>0</v>
      </c>
      <c r="G42" s="52">
        <f t="shared" si="46"/>
        <v>-730.64170799999988</v>
      </c>
      <c r="H42" s="52">
        <f t="shared" si="46"/>
        <v>-745.25454216000003</v>
      </c>
      <c r="I42" s="52">
        <f t="shared" si="46"/>
        <v>-760.15963300320004</v>
      </c>
      <c r="J42" s="52">
        <f t="shared" si="46"/>
        <v>-775.36282566326406</v>
      </c>
      <c r="K42" s="52">
        <f t="shared" si="46"/>
        <v>-790.87008217652908</v>
      </c>
      <c r="L42" s="52">
        <f t="shared" si="46"/>
        <v>-806.68748382005981</v>
      </c>
      <c r="M42" s="52">
        <f t="shared" si="46"/>
        <v>-822.82123349646088</v>
      </c>
      <c r="N42" s="52">
        <f t="shared" si="46"/>
        <v>-839.27765816639021</v>
      </c>
      <c r="O42" s="52">
        <f t="shared" si="46"/>
        <v>-856.06321132971789</v>
      </c>
      <c r="P42" s="52">
        <f t="shared" si="46"/>
        <v>-873.18447555631246</v>
      </c>
      <c r="Q42" s="52">
        <f t="shared" si="46"/>
        <v>-890.64816506743853</v>
      </c>
      <c r="R42" s="52">
        <f t="shared" si="46"/>
        <v>-908.4611283687874</v>
      </c>
      <c r="S42" s="52">
        <f t="shared" si="46"/>
        <v>-926.63035093616293</v>
      </c>
      <c r="T42" s="52">
        <f t="shared" si="46"/>
        <v>-945.16295795488645</v>
      </c>
      <c r="U42" s="52">
        <f t="shared" si="46"/>
        <v>-964.06621711398418</v>
      </c>
      <c r="V42" s="52">
        <f t="shared" si="46"/>
        <v>-983.34754145626368</v>
      </c>
      <c r="W42" s="52">
        <f t="shared" si="46"/>
        <v>-1003.0144922853889</v>
      </c>
      <c r="AB42" s="92">
        <f t="shared" si="3"/>
        <v>810</v>
      </c>
      <c r="AF42" s="94"/>
    </row>
    <row r="43" spans="1:35" ht="15" x14ac:dyDescent="0.25">
      <c r="A43" s="212" t="s">
        <v>48</v>
      </c>
      <c r="B43" s="213"/>
      <c r="C43" s="105"/>
      <c r="D43" s="52">
        <f t="shared" ref="D43:W43" si="47">IF(D20&lt;4,0,D34-D42)</f>
        <v>0</v>
      </c>
      <c r="E43" s="52">
        <f t="shared" si="47"/>
        <v>0</v>
      </c>
      <c r="F43" s="52">
        <f t="shared" si="47"/>
        <v>0</v>
      </c>
      <c r="G43" s="52">
        <f t="shared" si="47"/>
        <v>-1704.8306519999999</v>
      </c>
      <c r="H43" s="52">
        <f t="shared" si="47"/>
        <v>-1738.9272650400001</v>
      </c>
      <c r="I43" s="52">
        <f t="shared" si="47"/>
        <v>-1773.7058103408001</v>
      </c>
      <c r="J43" s="52">
        <f t="shared" si="47"/>
        <v>-1809.1799265476161</v>
      </c>
      <c r="K43" s="52">
        <f t="shared" si="47"/>
        <v>-1845.3635250785678</v>
      </c>
      <c r="L43" s="52">
        <f t="shared" si="47"/>
        <v>-1882.2707955801397</v>
      </c>
      <c r="M43" s="52">
        <f t="shared" si="47"/>
        <v>-1919.9162114917422</v>
      </c>
      <c r="N43" s="52">
        <f t="shared" si="47"/>
        <v>-1958.3145357215772</v>
      </c>
      <c r="O43" s="52">
        <f t="shared" si="47"/>
        <v>-1997.4808264360086</v>
      </c>
      <c r="P43" s="52">
        <f t="shared" si="47"/>
        <v>-2037.4304429647291</v>
      </c>
      <c r="Q43" s="52">
        <f t="shared" si="47"/>
        <v>-2078.1790518240232</v>
      </c>
      <c r="R43" s="52">
        <f t="shared" si="47"/>
        <v>-2119.7426328605043</v>
      </c>
      <c r="S43" s="52">
        <f t="shared" si="47"/>
        <v>-2162.1374855177137</v>
      </c>
      <c r="T43" s="52">
        <f t="shared" si="47"/>
        <v>-2205.3802352280682</v>
      </c>
      <c r="U43" s="52">
        <f t="shared" si="47"/>
        <v>-2249.4878399326299</v>
      </c>
      <c r="V43" s="52">
        <f t="shared" si="47"/>
        <v>-2294.4775967312821</v>
      </c>
      <c r="W43" s="52">
        <f t="shared" si="47"/>
        <v>-2340.3671486659077</v>
      </c>
      <c r="AB43" s="92">
        <f t="shared" si="3"/>
        <v>820</v>
      </c>
      <c r="AF43" s="94"/>
    </row>
    <row r="44" spans="1:35" ht="15" x14ac:dyDescent="0.25">
      <c r="A44" s="212" t="s">
        <v>49</v>
      </c>
      <c r="B44" s="213"/>
      <c r="C44" s="105"/>
      <c r="D44" s="52">
        <f>D43*(100%-$I$14)</f>
        <v>0</v>
      </c>
      <c r="E44" s="52">
        <f t="shared" ref="E44:W44" si="48">E43*(100%-$I$14)</f>
        <v>0</v>
      </c>
      <c r="F44" s="52">
        <f t="shared" si="48"/>
        <v>0</v>
      </c>
      <c r="G44" s="52">
        <f t="shared" si="48"/>
        <v>-1411.5997798559999</v>
      </c>
      <c r="H44" s="52">
        <f t="shared" si="48"/>
        <v>-1439.8317754531201</v>
      </c>
      <c r="I44" s="52">
        <f t="shared" si="48"/>
        <v>-1468.6284109621827</v>
      </c>
      <c r="J44" s="52">
        <f t="shared" si="48"/>
        <v>-1498.0009791814264</v>
      </c>
      <c r="K44" s="52">
        <f t="shared" si="48"/>
        <v>-1527.9609987650542</v>
      </c>
      <c r="L44" s="52">
        <f t="shared" si="48"/>
        <v>-1558.5202187403559</v>
      </c>
      <c r="M44" s="52">
        <f t="shared" si="48"/>
        <v>-1589.6906231151627</v>
      </c>
      <c r="N44" s="52">
        <f t="shared" si="48"/>
        <v>-1621.484435577466</v>
      </c>
      <c r="O44" s="52">
        <f t="shared" si="48"/>
        <v>-1653.9141242890153</v>
      </c>
      <c r="P44" s="52">
        <f t="shared" si="48"/>
        <v>-1686.9924067747959</v>
      </c>
      <c r="Q44" s="52">
        <f t="shared" si="48"/>
        <v>-1720.7322549102914</v>
      </c>
      <c r="R44" s="52">
        <f t="shared" si="48"/>
        <v>-1755.1469000084976</v>
      </c>
      <c r="S44" s="52">
        <f t="shared" si="48"/>
        <v>-1790.249838008667</v>
      </c>
      <c r="T44" s="52">
        <f t="shared" si="48"/>
        <v>-1826.0548347688407</v>
      </c>
      <c r="U44" s="52">
        <f t="shared" si="48"/>
        <v>-1862.5759314642178</v>
      </c>
      <c r="V44" s="52">
        <f t="shared" si="48"/>
        <v>-1899.8274500935017</v>
      </c>
      <c r="W44" s="52">
        <f t="shared" si="48"/>
        <v>-1937.8239990953718</v>
      </c>
      <c r="AB44" s="92">
        <f t="shared" si="3"/>
        <v>830</v>
      </c>
      <c r="AF44" s="94"/>
    </row>
    <row r="45" spans="1:35" s="58" customFormat="1" ht="16.899999999999999" customHeight="1" x14ac:dyDescent="0.25">
      <c r="A45" s="214" t="s">
        <v>22</v>
      </c>
      <c r="B45" s="215"/>
      <c r="C45" s="107"/>
      <c r="D45" s="138" t="e">
        <f>(D44/$M$9)/$M$10</f>
        <v>#DIV/0!</v>
      </c>
      <c r="E45" s="138" t="e">
        <f t="shared" ref="E45:W45" si="49">(E44/$M$9)/$M$10</f>
        <v>#DIV/0!</v>
      </c>
      <c r="F45" s="138" t="e">
        <f t="shared" si="49"/>
        <v>#DIV/0!</v>
      </c>
      <c r="G45" s="138" t="e">
        <f t="shared" si="49"/>
        <v>#DIV/0!</v>
      </c>
      <c r="H45" s="138" t="e">
        <f t="shared" si="49"/>
        <v>#DIV/0!</v>
      </c>
      <c r="I45" s="138" t="e">
        <f t="shared" si="49"/>
        <v>#DIV/0!</v>
      </c>
      <c r="J45" s="138" t="e">
        <f t="shared" si="49"/>
        <v>#DIV/0!</v>
      </c>
      <c r="K45" s="138" t="e">
        <f t="shared" si="49"/>
        <v>#DIV/0!</v>
      </c>
      <c r="L45" s="138" t="e">
        <f t="shared" si="49"/>
        <v>#DIV/0!</v>
      </c>
      <c r="M45" s="138" t="e">
        <f t="shared" si="49"/>
        <v>#DIV/0!</v>
      </c>
      <c r="N45" s="138" t="e">
        <f t="shared" si="49"/>
        <v>#DIV/0!</v>
      </c>
      <c r="O45" s="138" t="e">
        <f t="shared" si="49"/>
        <v>#DIV/0!</v>
      </c>
      <c r="P45" s="138" t="e">
        <f t="shared" si="49"/>
        <v>#DIV/0!</v>
      </c>
      <c r="Q45" s="138" t="e">
        <f t="shared" si="49"/>
        <v>#DIV/0!</v>
      </c>
      <c r="R45" s="138" t="e">
        <f t="shared" si="49"/>
        <v>#DIV/0!</v>
      </c>
      <c r="S45" s="138" t="e">
        <f t="shared" si="49"/>
        <v>#DIV/0!</v>
      </c>
      <c r="T45" s="138" t="e">
        <f t="shared" si="49"/>
        <v>#DIV/0!</v>
      </c>
      <c r="U45" s="138" t="e">
        <f t="shared" si="49"/>
        <v>#DIV/0!</v>
      </c>
      <c r="V45" s="138" t="e">
        <f t="shared" si="49"/>
        <v>#DIV/0!</v>
      </c>
      <c r="W45" s="138" t="e">
        <f t="shared" si="49"/>
        <v>#DIV/0!</v>
      </c>
      <c r="AA45" s="92"/>
      <c r="AB45" s="92">
        <f t="shared" si="3"/>
        <v>840</v>
      </c>
      <c r="AC45" s="92"/>
      <c r="AD45" s="92"/>
      <c r="AE45" s="92"/>
      <c r="AF45" s="94"/>
      <c r="AG45" s="92"/>
      <c r="AH45" s="92"/>
      <c r="AI45" s="92"/>
    </row>
    <row r="46" spans="1:35" ht="16.899999999999999" customHeight="1" x14ac:dyDescent="0.25">
      <c r="AB46" s="92">
        <f t="shared" si="3"/>
        <v>850</v>
      </c>
    </row>
    <row r="47" spans="1:35" ht="16.899999999999999" customHeight="1" x14ac:dyDescent="0.25">
      <c r="A47" s="223" t="s">
        <v>35</v>
      </c>
      <c r="B47" s="224"/>
      <c r="C47" s="108"/>
      <c r="D47" s="62" t="str">
        <f t="shared" ref="D47:W47" si="50">IF(D20&lt;=$M$13,D25/-PMT($M$12,$M$13,$M$11),"")</f>
        <v/>
      </c>
      <c r="E47" s="62" t="str">
        <f t="shared" si="50"/>
        <v/>
      </c>
      <c r="F47" s="62" t="str">
        <f t="shared" si="50"/>
        <v/>
      </c>
      <c r="G47" s="62" t="str">
        <f t="shared" si="50"/>
        <v/>
      </c>
      <c r="H47" s="62" t="str">
        <f t="shared" si="50"/>
        <v/>
      </c>
      <c r="I47" s="62" t="str">
        <f t="shared" si="50"/>
        <v/>
      </c>
      <c r="J47" s="62" t="str">
        <f t="shared" si="50"/>
        <v/>
      </c>
      <c r="K47" s="62" t="str">
        <f t="shared" si="50"/>
        <v/>
      </c>
      <c r="L47" s="62" t="str">
        <f t="shared" si="50"/>
        <v/>
      </c>
      <c r="M47" s="62" t="str">
        <f t="shared" si="50"/>
        <v/>
      </c>
      <c r="N47" s="62" t="str">
        <f t="shared" si="50"/>
        <v/>
      </c>
      <c r="O47" s="62" t="str">
        <f t="shared" si="50"/>
        <v/>
      </c>
      <c r="P47" s="62" t="str">
        <f t="shared" si="50"/>
        <v/>
      </c>
      <c r="Q47" s="62" t="str">
        <f t="shared" si="50"/>
        <v/>
      </c>
      <c r="R47" s="62" t="str">
        <f t="shared" si="50"/>
        <v/>
      </c>
      <c r="S47" s="62" t="str">
        <f t="shared" si="50"/>
        <v/>
      </c>
      <c r="T47" s="62" t="str">
        <f t="shared" si="50"/>
        <v/>
      </c>
      <c r="U47" s="62" t="str">
        <f t="shared" si="50"/>
        <v/>
      </c>
      <c r="V47" s="62" t="str">
        <f t="shared" si="50"/>
        <v/>
      </c>
      <c r="W47" s="62" t="str">
        <f t="shared" si="50"/>
        <v/>
      </c>
      <c r="X47" s="63"/>
      <c r="AB47" s="92">
        <f t="shared" si="3"/>
        <v>860</v>
      </c>
    </row>
    <row r="48" spans="1:35" ht="16.899999999999999" customHeight="1" x14ac:dyDescent="0.25">
      <c r="AB48" s="92">
        <f t="shared" ref="AB48:AB61" si="51">AB47+10</f>
        <v>870</v>
      </c>
    </row>
    <row r="49" spans="1:35" ht="16.899999999999999" customHeight="1" x14ac:dyDescent="0.25">
      <c r="A49" s="221" t="s">
        <v>17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AB49" s="92">
        <f t="shared" si="51"/>
        <v>880</v>
      </c>
    </row>
    <row r="50" spans="1:35" ht="16.899999999999999" customHeight="1" x14ac:dyDescent="0.25">
      <c r="AB50" s="92">
        <f t="shared" si="51"/>
        <v>890</v>
      </c>
    </row>
    <row r="51" spans="1:35" ht="16.899999999999999" customHeight="1" x14ac:dyDescent="0.25">
      <c r="A51" s="222" t="s">
        <v>18</v>
      </c>
      <c r="B51" s="222"/>
      <c r="C51" s="52" t="e">
        <f>W40</f>
        <v>#DIV/0!</v>
      </c>
      <c r="D51" s="75" t="e">
        <f>IF(C51&gt;0,"OK","PB")</f>
        <v>#DIV/0!</v>
      </c>
      <c r="F51" s="64"/>
      <c r="AB51" s="92">
        <f t="shared" si="51"/>
        <v>900</v>
      </c>
    </row>
    <row r="52" spans="1:35" ht="16.899999999999999" customHeight="1" x14ac:dyDescent="0.25">
      <c r="A52" s="222" t="s">
        <v>40</v>
      </c>
      <c r="B52" s="222"/>
      <c r="C52" s="52">
        <f>SUM(D42:W42)</f>
        <v>-14621.653706554847</v>
      </c>
      <c r="AB52" s="92">
        <f t="shared" si="51"/>
        <v>910</v>
      </c>
    </row>
    <row r="53" spans="1:35" ht="15" x14ac:dyDescent="0.25">
      <c r="A53" s="222" t="s">
        <v>19</v>
      </c>
      <c r="B53" s="222"/>
      <c r="C53" s="65" t="e">
        <f>IRR(C37:W37)</f>
        <v>#NUM!</v>
      </c>
      <c r="D53" s="2" t="e">
        <f>IF(C53&gt;M12,"OK","PB")</f>
        <v>#NUM!</v>
      </c>
      <c r="AB53" s="92">
        <f t="shared" si="51"/>
        <v>920</v>
      </c>
    </row>
    <row r="54" spans="1:35" ht="29.45" customHeight="1" x14ac:dyDescent="0.25">
      <c r="A54" s="222" t="s">
        <v>20</v>
      </c>
      <c r="B54" s="222"/>
      <c r="C54" s="66" t="e">
        <f>AVERAGE(D34:W34)/M8</f>
        <v>#DIV/0!</v>
      </c>
      <c r="AB54" s="92">
        <f t="shared" si="51"/>
        <v>930</v>
      </c>
    </row>
    <row r="55" spans="1:35" ht="26.45" customHeight="1" x14ac:dyDescent="0.25">
      <c r="A55" s="222" t="s">
        <v>41</v>
      </c>
      <c r="B55" s="222"/>
      <c r="C55" s="66" t="e">
        <f>AVERAGE(D45:W45)</f>
        <v>#DIV/0!</v>
      </c>
      <c r="AB55" s="92">
        <f t="shared" si="51"/>
        <v>940</v>
      </c>
    </row>
    <row r="56" spans="1:35" ht="16.899999999999999" customHeight="1" x14ac:dyDescent="0.25">
      <c r="AB56" s="92">
        <f t="shared" si="51"/>
        <v>950</v>
      </c>
    </row>
    <row r="57" spans="1:35" ht="16.899999999999999" customHeight="1" x14ac:dyDescent="0.25">
      <c r="A57" s="67" t="s">
        <v>94</v>
      </c>
      <c r="B57" s="76" t="e">
        <f>C11/(C9*1000)</f>
        <v>#DIV/0!</v>
      </c>
      <c r="AB57" s="92">
        <f t="shared" si="51"/>
        <v>960</v>
      </c>
    </row>
    <row r="58" spans="1:35" ht="16.899999999999999" customHeight="1" x14ac:dyDescent="0.25">
      <c r="D58" s="68"/>
      <c r="AB58" s="92">
        <f t="shared" si="51"/>
        <v>970</v>
      </c>
    </row>
    <row r="59" spans="1:35" customFormat="1" ht="16.899999999999999" customHeight="1" x14ac:dyDescent="0.25">
      <c r="AA59" s="98"/>
      <c r="AB59" s="92">
        <f t="shared" si="51"/>
        <v>980</v>
      </c>
      <c r="AC59" s="98"/>
      <c r="AD59" s="98"/>
      <c r="AE59" s="98"/>
      <c r="AF59" s="98"/>
      <c r="AG59" s="98"/>
      <c r="AH59" s="98"/>
      <c r="AI59" s="98"/>
    </row>
    <row r="60" spans="1:35" ht="16.899999999999999" customHeight="1" x14ac:dyDescent="0.25">
      <c r="AB60" s="92">
        <f t="shared" si="51"/>
        <v>990</v>
      </c>
    </row>
    <row r="61" spans="1:35" ht="16.899999999999999" customHeight="1" x14ac:dyDescent="0.25">
      <c r="AB61" s="92">
        <f t="shared" si="51"/>
        <v>1000</v>
      </c>
    </row>
    <row r="62" spans="1:35" ht="16.899999999999999" customHeight="1" x14ac:dyDescent="0.25">
      <c r="AB62" s="2"/>
    </row>
  </sheetData>
  <mergeCells count="77">
    <mergeCell ref="O12:P13"/>
    <mergeCell ref="Q12:Q13"/>
    <mergeCell ref="K11:L11"/>
    <mergeCell ref="S8:U8"/>
    <mergeCell ref="S10:U10"/>
    <mergeCell ref="K12:L12"/>
    <mergeCell ref="A1:W1"/>
    <mergeCell ref="K9:L9"/>
    <mergeCell ref="K10:L10"/>
    <mergeCell ref="K6:N6"/>
    <mergeCell ref="O8:P8"/>
    <mergeCell ref="O9:P9"/>
    <mergeCell ref="O10:P10"/>
    <mergeCell ref="A42:B42"/>
    <mergeCell ref="F14:H14"/>
    <mergeCell ref="A40:B40"/>
    <mergeCell ref="A34:B34"/>
    <mergeCell ref="A36:B36"/>
    <mergeCell ref="A39:B39"/>
    <mergeCell ref="A37:B37"/>
    <mergeCell ref="A33:B33"/>
    <mergeCell ref="A38:B38"/>
    <mergeCell ref="F15:H15"/>
    <mergeCell ref="A29:B29"/>
    <mergeCell ref="A30:B30"/>
    <mergeCell ref="A27:B27"/>
    <mergeCell ref="A28:B28"/>
    <mergeCell ref="A32:B32"/>
    <mergeCell ref="A25:B25"/>
    <mergeCell ref="A55:B55"/>
    <mergeCell ref="A43:B43"/>
    <mergeCell ref="A45:B45"/>
    <mergeCell ref="I49:K49"/>
    <mergeCell ref="L49:M49"/>
    <mergeCell ref="A51:B51"/>
    <mergeCell ref="A53:B53"/>
    <mergeCell ref="A54:B54"/>
    <mergeCell ref="A52:B52"/>
    <mergeCell ref="A49:E49"/>
    <mergeCell ref="F49:H49"/>
    <mergeCell ref="A44:B44"/>
    <mergeCell ref="A47:B47"/>
    <mergeCell ref="N49:O49"/>
    <mergeCell ref="P49:Q49"/>
    <mergeCell ref="R49:S49"/>
    <mergeCell ref="T49:U49"/>
    <mergeCell ref="V49:W49"/>
    <mergeCell ref="V18:W18"/>
    <mergeCell ref="A18:E18"/>
    <mergeCell ref="F18:H18"/>
    <mergeCell ref="I18:K18"/>
    <mergeCell ref="L18:M18"/>
    <mergeCell ref="N18:O18"/>
    <mergeCell ref="P18:Q18"/>
    <mergeCell ref="R18:S18"/>
    <mergeCell ref="T18:U18"/>
    <mergeCell ref="A16:B16"/>
    <mergeCell ref="A15:B15"/>
    <mergeCell ref="K13:L13"/>
    <mergeCell ref="A8:B8"/>
    <mergeCell ref="F11:H11"/>
    <mergeCell ref="F12:H12"/>
    <mergeCell ref="F13:H13"/>
    <mergeCell ref="A14:B14"/>
    <mergeCell ref="K14:L14"/>
    <mergeCell ref="K8:L8"/>
    <mergeCell ref="F8:H8"/>
    <mergeCell ref="F9:H9"/>
    <mergeCell ref="F10:H10"/>
    <mergeCell ref="A9:B9"/>
    <mergeCell ref="A10:B10"/>
    <mergeCell ref="A26:B26"/>
    <mergeCell ref="A31:B31"/>
    <mergeCell ref="A24:B24"/>
    <mergeCell ref="A21:B21"/>
    <mergeCell ref="A22:B22"/>
    <mergeCell ref="A23:B23"/>
  </mergeCells>
  <conditionalFormatting sqref="C51:C52">
    <cfRule type="cellIs" dxfId="4" priority="9" operator="lessThan">
      <formula>0</formula>
    </cfRule>
  </conditionalFormatting>
  <conditionalFormatting sqref="D51">
    <cfRule type="containsText" dxfId="3" priority="3" operator="containsText" text="PB">
      <formula>NOT(ISERROR(SEARCH("PB",D51)))</formula>
    </cfRule>
    <cfRule type="containsText" dxfId="2" priority="4" operator="containsText" text="OK">
      <formula>NOT(ISERROR(SEARCH("OK",D51)))</formula>
    </cfRule>
  </conditionalFormatting>
  <conditionalFormatting sqref="D53">
    <cfRule type="cellIs" dxfId="1" priority="1" operator="equal">
      <formula>"PB"</formula>
    </cfRule>
    <cfRule type="cellIs" dxfId="0" priority="2" operator="equal">
      <formula>"OK"</formula>
    </cfRule>
  </conditionalFormatting>
  <dataValidations count="3">
    <dataValidation type="list" allowBlank="1" showInputMessage="1" showErrorMessage="1" sqref="B4" xr:uid="{00000000-0002-0000-0000-000000000000}">
      <formula1>$AE$2:$AE$3</formula1>
    </dataValidation>
    <dataValidation type="list" allowBlank="1" showInputMessage="1" showErrorMessage="1" sqref="I12" xr:uid="{00000000-0002-0000-0000-000001000000}">
      <formula1>$AF$2:$AF$24</formula1>
    </dataValidation>
    <dataValidation type="list" allowBlank="1" showInputMessage="1" showErrorMessage="1" sqref="M13" xr:uid="{00000000-0002-0000-0000-000002000000}">
      <formula1>$AC$2:$AC$10</formula1>
    </dataValidation>
  </dataValidations>
  <pageMargins left="0.19685039370078741" right="0.31496062992125984" top="0.31496062992125984" bottom="0.39370078740157483" header="0.31496062992125984" footer="0.31496062992125984"/>
  <pageSetup paperSize="9" scale="68" orientation="landscape" r:id="rId1"/>
  <colBreaks count="1" manualBreakCount="1">
    <brk id="23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ACCUEIL</vt:lpstr>
      <vt:lpstr>DECAISSEMENTS</vt:lpstr>
      <vt:lpstr>ENCAISSEMENTS</vt:lpstr>
      <vt:lpstr>SIG</vt:lpstr>
      <vt:lpstr>index_tarif</vt:lpstr>
      <vt:lpstr>inflation</vt:lpstr>
      <vt:lpstr>perte_prod</vt:lpstr>
      <vt:lpstr>taux_actu</vt:lpstr>
      <vt:lpstr>ENCAISSEMENTS!Zone_d_impression</vt:lpstr>
      <vt:lpstr>SIG!Zone_d_impression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npoize</dc:creator>
  <cp:lastModifiedBy>Etienne Jouin</cp:lastModifiedBy>
  <cp:lastPrinted>2015-07-06T14:54:07Z</cp:lastPrinted>
  <dcterms:created xsi:type="dcterms:W3CDTF">2012-12-14T09:34:10Z</dcterms:created>
  <dcterms:modified xsi:type="dcterms:W3CDTF">2023-11-06T14:58:09Z</dcterms:modified>
</cp:coreProperties>
</file>