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Nextcloud\5-OUTILS\3_DEVELOPPEMENT\"/>
    </mc:Choice>
  </mc:AlternateContent>
  <xr:revisionPtr revIDLastSave="0" documentId="13_ncr:1_{07D46B47-9C35-41DD-A868-C5D488910F22}" xr6:coauthVersionLast="47" xr6:coauthVersionMax="47" xr10:uidLastSave="{00000000-0000-0000-0000-000000000000}"/>
  <bookViews>
    <workbookView xWindow="-120" yWindow="-120" windowWidth="20730" windowHeight="11160" tabRatio="731" xr2:uid="{00000000-000D-0000-FFFF-FFFF00000000}"/>
  </bookViews>
  <sheets>
    <sheet name="SIG" sheetId="1" r:id="rId1"/>
    <sheet name="ENCAISSEMENTS" sheetId="3" r:id="rId2"/>
    <sheet name="DECAISSEMENTS" sheetId="4" r:id="rId3"/>
  </sheets>
  <definedNames>
    <definedName name="index_tarif">SIG!$I$9</definedName>
    <definedName name="inflation">SIG!$I$10</definedName>
    <definedName name="perte_prod">SIG!$I$8</definedName>
    <definedName name="taux_actu">SIG!$I$13</definedName>
    <definedName name="_xlnm.Print_Area" localSheetId="1">ENCAISSEMENTS!$A$1:$I$39</definedName>
    <definedName name="_xlnm.Print_Area" localSheetId="0">SIG!$A$1:$W$48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C55" i="1"/>
  <c r="C54" i="1"/>
  <c r="C53" i="1"/>
  <c r="C52" i="1"/>
  <c r="E42" i="1"/>
  <c r="I13" i="1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34" i="4"/>
  <c r="K34" i="4" l="1"/>
  <c r="H30" i="4"/>
  <c r="AB11" i="1" l="1"/>
  <c r="AB10" i="1" s="1"/>
  <c r="AB9" i="1" s="1"/>
  <c r="AB8" i="1" s="1"/>
  <c r="AB7" i="1" s="1"/>
  <c r="AB6" i="1" s="1"/>
  <c r="AB5" i="1" s="1"/>
  <c r="AB4" i="1" s="1"/>
  <c r="AB3" i="1" s="1"/>
  <c r="AB2" i="1" s="1"/>
  <c r="C16" i="1"/>
  <c r="C15" i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4" i="3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3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4" i="4"/>
  <c r="N5" i="3"/>
  <c r="N6" i="3"/>
  <c r="N7" i="3"/>
  <c r="G54" i="4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4" i="3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3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4" i="4"/>
  <c r="K35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H23" i="3"/>
  <c r="H22" i="3"/>
  <c r="H21" i="3"/>
  <c r="H20" i="3"/>
  <c r="M4" i="4"/>
  <c r="H19" i="3"/>
  <c r="H18" i="3"/>
  <c r="H17" i="3"/>
  <c r="H16" i="3"/>
  <c r="H15" i="3"/>
  <c r="H14" i="3"/>
  <c r="H13" i="3"/>
  <c r="C34" i="4"/>
  <c r="E43" i="1"/>
  <c r="E44" i="1" s="1"/>
  <c r="E45" i="1" s="1"/>
  <c r="F43" i="1"/>
  <c r="F44" i="1" s="1"/>
  <c r="F45" i="1" s="1"/>
  <c r="D43" i="1"/>
  <c r="D44" i="1" s="1"/>
  <c r="D45" i="1" s="1"/>
  <c r="AF5" i="1"/>
  <c r="AF6" i="1"/>
  <c r="AF7" i="1"/>
  <c r="AF8" i="1" s="1"/>
  <c r="AF9" i="1" s="1"/>
  <c r="AF10" i="1" s="1"/>
  <c r="AF11" i="1" s="1"/>
  <c r="AF12" i="1" s="1"/>
  <c r="AF13" i="1" s="1"/>
  <c r="AF14" i="1" s="1"/>
  <c r="AF16" i="1" s="1"/>
  <c r="AF17" i="1" s="1"/>
  <c r="AF18" i="1" s="1"/>
  <c r="AF19" i="1" s="1"/>
  <c r="AF20" i="1" s="1"/>
  <c r="AF21" i="1" s="1"/>
  <c r="AF22" i="1" s="1"/>
  <c r="AF23" i="1" s="1"/>
  <c r="AF24" i="1" s="1"/>
  <c r="C14" i="1"/>
  <c r="H5" i="3"/>
  <c r="H6" i="3"/>
  <c r="H7" i="3"/>
  <c r="H8" i="3"/>
  <c r="H9" i="3"/>
  <c r="H10" i="3"/>
  <c r="H11" i="3"/>
  <c r="H12" i="3"/>
  <c r="H4" i="3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D30" i="1"/>
  <c r="AD7" i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B16" i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M8" i="1"/>
  <c r="C38" i="1" s="1"/>
  <c r="U47" i="1"/>
  <c r="V47" i="1"/>
  <c r="W47" i="1"/>
  <c r="S29" i="1"/>
  <c r="T29" i="1"/>
  <c r="U29" i="1"/>
  <c r="V29" i="1"/>
  <c r="W29" i="1"/>
  <c r="T47" i="1"/>
  <c r="S47" i="1"/>
  <c r="K36" i="4" l="1"/>
  <c r="H54" i="4"/>
  <c r="J24" i="4"/>
  <c r="I24" i="4"/>
  <c r="J54" i="4"/>
  <c r="K24" i="4"/>
  <c r="H24" i="3"/>
  <c r="C12" i="1" s="1"/>
  <c r="D21" i="1" s="1"/>
  <c r="F21" i="1" s="1"/>
  <c r="E24" i="3"/>
  <c r="C10" i="1" s="1"/>
  <c r="G24" i="4"/>
  <c r="I54" i="4"/>
  <c r="D54" i="4"/>
  <c r="F54" i="4"/>
  <c r="C24" i="3"/>
  <c r="C8" i="1" s="1"/>
  <c r="H24" i="4"/>
  <c r="E24" i="4"/>
  <c r="L24" i="4"/>
  <c r="D24" i="3"/>
  <c r="C9" i="1" s="1"/>
  <c r="F24" i="4"/>
  <c r="C24" i="4"/>
  <c r="E54" i="4"/>
  <c r="D24" i="4"/>
  <c r="C54" i="4"/>
  <c r="Q21" i="1"/>
  <c r="W21" i="1"/>
  <c r="N21" i="1"/>
  <c r="T21" i="1"/>
  <c r="P21" i="1"/>
  <c r="S21" i="1"/>
  <c r="E21" i="1" l="1"/>
  <c r="O21" i="1"/>
  <c r="H21" i="1"/>
  <c r="J21" i="1"/>
  <c r="V21" i="1"/>
  <c r="M21" i="1"/>
  <c r="L21" i="1"/>
  <c r="K21" i="1"/>
  <c r="R21" i="1"/>
  <c r="I21" i="1"/>
  <c r="U21" i="1"/>
  <c r="G21" i="1"/>
  <c r="E24" i="1"/>
  <c r="I24" i="1"/>
  <c r="M24" i="1"/>
  <c r="Q24" i="1"/>
  <c r="U24" i="1"/>
  <c r="V24" i="1"/>
  <c r="G24" i="1"/>
  <c r="K24" i="1"/>
  <c r="O24" i="1"/>
  <c r="W24" i="1"/>
  <c r="F24" i="1"/>
  <c r="J24" i="1"/>
  <c r="N24" i="1"/>
  <c r="R24" i="1"/>
  <c r="S24" i="1"/>
  <c r="H24" i="1"/>
  <c r="L24" i="1"/>
  <c r="P24" i="1"/>
  <c r="T24" i="1"/>
  <c r="D24" i="1"/>
  <c r="K54" i="4"/>
  <c r="C13" i="1" s="1"/>
  <c r="D22" i="1" s="1"/>
  <c r="D23" i="1" s="1"/>
  <c r="M24" i="4"/>
  <c r="C11" i="1" s="1"/>
  <c r="I26" i="1" s="1"/>
  <c r="V10" i="1"/>
  <c r="D25" i="1" l="1"/>
  <c r="U26" i="1"/>
  <c r="M11" i="1"/>
  <c r="G26" i="1"/>
  <c r="T26" i="1"/>
  <c r="F26" i="1"/>
  <c r="E26" i="1"/>
  <c r="R26" i="1"/>
  <c r="Q26" i="1"/>
  <c r="C40" i="1"/>
  <c r="H26" i="1"/>
  <c r="V26" i="1"/>
  <c r="C37" i="1"/>
  <c r="P26" i="1"/>
  <c r="J26" i="1"/>
  <c r="W26" i="1"/>
  <c r="S26" i="1"/>
  <c r="L26" i="1"/>
  <c r="N26" i="1"/>
  <c r="K26" i="1"/>
  <c r="V8" i="1"/>
  <c r="O26" i="1"/>
  <c r="K22" i="1"/>
  <c r="K23" i="1" s="1"/>
  <c r="K25" i="1" s="1"/>
  <c r="N22" i="1"/>
  <c r="N23" i="1" s="1"/>
  <c r="N25" i="1" s="1"/>
  <c r="N28" i="1" s="1"/>
  <c r="P22" i="1"/>
  <c r="P23" i="1" s="1"/>
  <c r="P25" i="1" s="1"/>
  <c r="H22" i="1"/>
  <c r="H23" i="1" s="1"/>
  <c r="H25" i="1" s="1"/>
  <c r="Q22" i="1"/>
  <c r="Q23" i="1" s="1"/>
  <c r="Q25" i="1" s="1"/>
  <c r="Q28" i="1" s="1"/>
  <c r="S22" i="1"/>
  <c r="S23" i="1" s="1"/>
  <c r="S25" i="1" s="1"/>
  <c r="S28" i="1" s="1"/>
  <c r="S31" i="1" s="1"/>
  <c r="V22" i="1"/>
  <c r="V23" i="1" s="1"/>
  <c r="V25" i="1" s="1"/>
  <c r="M22" i="1"/>
  <c r="M23" i="1" s="1"/>
  <c r="M25" i="1" s="1"/>
  <c r="J22" i="1"/>
  <c r="J23" i="1" s="1"/>
  <c r="J25" i="1" s="1"/>
  <c r="J28" i="1" s="1"/>
  <c r="F22" i="1"/>
  <c r="F23" i="1" s="1"/>
  <c r="F25" i="1" s="1"/>
  <c r="F28" i="1" s="1"/>
  <c r="E22" i="1"/>
  <c r="E23" i="1" s="1"/>
  <c r="E25" i="1" s="1"/>
  <c r="O22" i="1"/>
  <c r="O23" i="1" s="1"/>
  <c r="O25" i="1" s="1"/>
  <c r="O28" i="1" s="1"/>
  <c r="L22" i="1"/>
  <c r="L23" i="1" s="1"/>
  <c r="L25" i="1" s="1"/>
  <c r="G22" i="1"/>
  <c r="G23" i="1" s="1"/>
  <c r="G25" i="1" s="1"/>
  <c r="G28" i="1" s="1"/>
  <c r="R22" i="1"/>
  <c r="R23" i="1" s="1"/>
  <c r="R25" i="1" s="1"/>
  <c r="T22" i="1"/>
  <c r="T23" i="1" s="1"/>
  <c r="T25" i="1" s="1"/>
  <c r="T28" i="1" s="1"/>
  <c r="T31" i="1" s="1"/>
  <c r="W22" i="1"/>
  <c r="W23" i="1" s="1"/>
  <c r="W25" i="1" s="1"/>
  <c r="U22" i="1"/>
  <c r="U23" i="1" s="1"/>
  <c r="U25" i="1" s="1"/>
  <c r="U28" i="1" s="1"/>
  <c r="U31" i="1" s="1"/>
  <c r="I22" i="1"/>
  <c r="I23" i="1" s="1"/>
  <c r="I25" i="1" s="1"/>
  <c r="I28" i="1" s="1"/>
  <c r="B57" i="1"/>
  <c r="D26" i="1"/>
  <c r="D28" i="1" s="1"/>
  <c r="M26" i="1"/>
  <c r="E28" i="1" l="1"/>
  <c r="M29" i="1"/>
  <c r="Q29" i="1"/>
  <c r="Q31" i="1" s="1"/>
  <c r="N29" i="1"/>
  <c r="N31" i="1" s="1"/>
  <c r="P29" i="1"/>
  <c r="M47" i="1"/>
  <c r="J47" i="1"/>
  <c r="E47" i="1"/>
  <c r="G47" i="1"/>
  <c r="K47" i="1"/>
  <c r="R47" i="1"/>
  <c r="H29" i="1"/>
  <c r="D29" i="1"/>
  <c r="D31" i="1" s="1"/>
  <c r="L47" i="1"/>
  <c r="I47" i="1"/>
  <c r="E29" i="1"/>
  <c r="I29" i="1"/>
  <c r="I31" i="1" s="1"/>
  <c r="J29" i="1"/>
  <c r="J31" i="1" s="1"/>
  <c r="L29" i="1"/>
  <c r="O47" i="1"/>
  <c r="Q47" i="1"/>
  <c r="G29" i="1"/>
  <c r="G31" i="1" s="1"/>
  <c r="O29" i="1"/>
  <c r="O31" i="1" s="1"/>
  <c r="K29" i="1"/>
  <c r="F29" i="1"/>
  <c r="F31" i="1" s="1"/>
  <c r="F47" i="1"/>
  <c r="N47" i="1"/>
  <c r="H47" i="1"/>
  <c r="D47" i="1"/>
  <c r="R29" i="1"/>
  <c r="P47" i="1"/>
  <c r="E31" i="1"/>
  <c r="H28" i="1"/>
  <c r="V28" i="1"/>
  <c r="V31" i="1" s="1"/>
  <c r="R28" i="1"/>
  <c r="P28" i="1"/>
  <c r="P31" i="1" s="1"/>
  <c r="W28" i="1"/>
  <c r="W31" i="1" s="1"/>
  <c r="L28" i="1"/>
  <c r="K28" i="1"/>
  <c r="M28" i="1"/>
  <c r="L31" i="1" l="1"/>
  <c r="M31" i="1"/>
  <c r="D33" i="1"/>
  <c r="D34" i="1" s="1"/>
  <c r="D32" i="1"/>
  <c r="K31" i="1"/>
  <c r="R31" i="1"/>
  <c r="H31" i="1"/>
  <c r="E33" i="1" l="1"/>
  <c r="E34" i="1" s="1"/>
  <c r="E32" i="1"/>
  <c r="F32" i="1" s="1"/>
  <c r="G32" i="1" s="1"/>
  <c r="D36" i="1"/>
  <c r="D38" i="1" s="1"/>
  <c r="D42" i="1"/>
  <c r="D37" i="1" l="1"/>
  <c r="E36" i="1"/>
  <c r="F33" i="1"/>
  <c r="F34" i="1" s="1"/>
  <c r="G33" i="1"/>
  <c r="G34" i="1" s="1"/>
  <c r="E38" i="1" l="1"/>
  <c r="E37" i="1"/>
  <c r="G42" i="1"/>
  <c r="G43" i="1" s="1"/>
  <c r="G44" i="1" s="1"/>
  <c r="G45" i="1" s="1"/>
  <c r="F36" i="1"/>
  <c r="F38" i="1" s="1"/>
  <c r="F42" i="1"/>
  <c r="G36" i="1"/>
  <c r="G38" i="1" s="1"/>
  <c r="H33" i="1"/>
  <c r="H34" i="1" s="1"/>
  <c r="H42" i="1" s="1"/>
  <c r="H32" i="1"/>
  <c r="F37" i="1" l="1"/>
  <c r="H43" i="1"/>
  <c r="H44" i="1" s="1"/>
  <c r="H45" i="1" s="1"/>
  <c r="H36" i="1"/>
  <c r="G37" i="1"/>
  <c r="I33" i="1"/>
  <c r="I34" i="1" s="1"/>
  <c r="I42" i="1" s="1"/>
  <c r="I32" i="1"/>
  <c r="J33" i="1" l="1"/>
  <c r="J34" i="1" s="1"/>
  <c r="J42" i="1" s="1"/>
  <c r="J32" i="1"/>
  <c r="I36" i="1"/>
  <c r="I43" i="1"/>
  <c r="I44" i="1" s="1"/>
  <c r="I45" i="1" s="1"/>
  <c r="H38" i="1"/>
  <c r="H37" i="1"/>
  <c r="K33" i="1" l="1"/>
  <c r="K34" i="1" s="1"/>
  <c r="K42" i="1" s="1"/>
  <c r="K32" i="1"/>
  <c r="I37" i="1"/>
  <c r="I38" i="1"/>
  <c r="J43" i="1"/>
  <c r="J44" i="1" s="1"/>
  <c r="J45" i="1" s="1"/>
  <c r="J36" i="1"/>
  <c r="J38" i="1" l="1"/>
  <c r="J37" i="1"/>
  <c r="L33" i="1"/>
  <c r="L34" i="1" s="1"/>
  <c r="L42" i="1" s="1"/>
  <c r="L32" i="1"/>
  <c r="K43" i="1"/>
  <c r="K44" i="1" s="1"/>
  <c r="K45" i="1" s="1"/>
  <c r="K36" i="1"/>
  <c r="L43" i="1" l="1"/>
  <c r="L44" i="1" s="1"/>
  <c r="L45" i="1" s="1"/>
  <c r="L36" i="1"/>
  <c r="K38" i="1"/>
  <c r="K37" i="1"/>
  <c r="M33" i="1"/>
  <c r="M34" i="1" s="1"/>
  <c r="M42" i="1" s="1"/>
  <c r="M32" i="1"/>
  <c r="L37" i="1" l="1"/>
  <c r="L38" i="1"/>
  <c r="N33" i="1"/>
  <c r="N34" i="1" s="1"/>
  <c r="N42" i="1" s="1"/>
  <c r="N32" i="1"/>
  <c r="M36" i="1"/>
  <c r="M43" i="1"/>
  <c r="M44" i="1" s="1"/>
  <c r="M45" i="1" s="1"/>
  <c r="O33" i="1" l="1"/>
  <c r="O34" i="1" s="1"/>
  <c r="O42" i="1" s="1"/>
  <c r="O32" i="1"/>
  <c r="N36" i="1"/>
  <c r="N43" i="1"/>
  <c r="N44" i="1" s="1"/>
  <c r="N45" i="1" s="1"/>
  <c r="M37" i="1"/>
  <c r="M38" i="1"/>
  <c r="N37" i="1" l="1"/>
  <c r="N38" i="1"/>
  <c r="P33" i="1"/>
  <c r="P34" i="1" s="1"/>
  <c r="P42" i="1" s="1"/>
  <c r="P32" i="1"/>
  <c r="O36" i="1"/>
  <c r="O43" i="1"/>
  <c r="O44" i="1" s="1"/>
  <c r="O45" i="1" s="1"/>
  <c r="Q33" i="1" l="1"/>
  <c r="Q34" i="1" s="1"/>
  <c r="Q42" i="1" s="1"/>
  <c r="Q32" i="1"/>
  <c r="P36" i="1"/>
  <c r="P43" i="1"/>
  <c r="P44" i="1" s="1"/>
  <c r="P45" i="1" s="1"/>
  <c r="O38" i="1"/>
  <c r="O37" i="1"/>
  <c r="R33" i="1" l="1"/>
  <c r="R34" i="1" s="1"/>
  <c r="R42" i="1" s="1"/>
  <c r="R32" i="1"/>
  <c r="P38" i="1"/>
  <c r="P37" i="1"/>
  <c r="Q36" i="1"/>
  <c r="Q43" i="1"/>
  <c r="Q44" i="1" s="1"/>
  <c r="Q45" i="1" s="1"/>
  <c r="S33" i="1" l="1"/>
  <c r="S34" i="1" s="1"/>
  <c r="S42" i="1" s="1"/>
  <c r="S32" i="1"/>
  <c r="Q38" i="1"/>
  <c r="Q37" i="1"/>
  <c r="R36" i="1"/>
  <c r="R43" i="1"/>
  <c r="R44" i="1" s="1"/>
  <c r="R45" i="1" s="1"/>
  <c r="T33" i="1" l="1"/>
  <c r="T34" i="1" s="1"/>
  <c r="T42" i="1" s="1"/>
  <c r="T32" i="1"/>
  <c r="R37" i="1"/>
  <c r="R38" i="1"/>
  <c r="S36" i="1"/>
  <c r="S43" i="1"/>
  <c r="S44" i="1" s="1"/>
  <c r="S45" i="1" s="1"/>
  <c r="U33" i="1" l="1"/>
  <c r="U34" i="1" s="1"/>
  <c r="U42" i="1" s="1"/>
  <c r="U32" i="1"/>
  <c r="S37" i="1"/>
  <c r="S38" i="1"/>
  <c r="T43" i="1"/>
  <c r="T44" i="1" s="1"/>
  <c r="T45" i="1" s="1"/>
  <c r="T36" i="1"/>
  <c r="T37" i="1" l="1"/>
  <c r="T38" i="1"/>
  <c r="V33" i="1"/>
  <c r="V34" i="1" s="1"/>
  <c r="V42" i="1" s="1"/>
  <c r="V32" i="1"/>
  <c r="U43" i="1"/>
  <c r="U44" i="1" s="1"/>
  <c r="U45" i="1" s="1"/>
  <c r="U36" i="1"/>
  <c r="W33" i="1" l="1"/>
  <c r="W34" i="1" s="1"/>
  <c r="W42" i="1" s="1"/>
  <c r="W32" i="1"/>
  <c r="V43" i="1"/>
  <c r="V44" i="1" s="1"/>
  <c r="V45" i="1" s="1"/>
  <c r="V36" i="1"/>
  <c r="U38" i="1"/>
  <c r="U37" i="1"/>
  <c r="V37" i="1" l="1"/>
  <c r="V38" i="1"/>
  <c r="W43" i="1"/>
  <c r="W44" i="1" s="1"/>
  <c r="W45" i="1" s="1"/>
  <c r="W36" i="1"/>
  <c r="F39" i="1" l="1"/>
  <c r="J39" i="1"/>
  <c r="N39" i="1"/>
  <c r="R39" i="1"/>
  <c r="S39" i="1"/>
  <c r="D39" i="1"/>
  <c r="D40" i="1" s="1"/>
  <c r="H39" i="1"/>
  <c r="P39" i="1"/>
  <c r="M39" i="1"/>
  <c r="G39" i="1"/>
  <c r="K39" i="1"/>
  <c r="O39" i="1"/>
  <c r="L39" i="1"/>
  <c r="E39" i="1"/>
  <c r="U39" i="1"/>
  <c r="T39" i="1"/>
  <c r="I39" i="1"/>
  <c r="Q39" i="1"/>
  <c r="V39" i="1"/>
  <c r="W38" i="1"/>
  <c r="W37" i="1"/>
  <c r="W39" i="1"/>
  <c r="E40" i="1" l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C51" i="1" s="1"/>
  <c r="D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npoize</author>
    <author>utilisateur</author>
  </authors>
  <commentList>
    <comment ref="I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Supérieur à 57,5% en SCIC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1" shapeId="0" xr:uid="{4D3E3418-9EB8-4CF8-9E9D-9C9496FD298A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calculé via la méthode du coût moyen pondéré du capital</t>
        </r>
      </text>
    </comment>
    <comment ref="I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 demander à la commune où siège la société locale
De l'ordre de 300 à 500€</t>
        </r>
      </text>
    </comment>
    <comment ref="D22" authorId="0" shapeId="0" xr:uid="{00000000-0006-0000-0000-000003000000}">
      <text>
        <r>
          <rPr>
            <sz val="9"/>
            <color indexed="81"/>
            <rFont val="Tahoma"/>
            <family val="2"/>
          </rPr>
          <t>charges exceptionnelles 1e année</t>
        </r>
      </text>
    </comment>
    <comment ref="N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Charges exceptionnelles de 11e année</t>
        </r>
      </text>
    </comment>
    <comment ref="A5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Calculée sur tous les flux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Calculs sur tous les flux sans les intérêts financiers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<sst xmlns="http://schemas.openxmlformats.org/spreadsheetml/2006/main" count="238" uniqueCount="205">
  <si>
    <t>Structuration du financement</t>
  </si>
  <si>
    <t>Charges</t>
  </si>
  <si>
    <t>Soldes intermédiaires de gestion</t>
  </si>
  <si>
    <t>Taux d'indexation du tarif d'achat</t>
  </si>
  <si>
    <t>Inflation</t>
  </si>
  <si>
    <t>Valeur ajoutée</t>
  </si>
  <si>
    <t>Excédent Brut d'Exploitation</t>
  </si>
  <si>
    <t>Dotations aux amortissements</t>
  </si>
  <si>
    <t>Provisions</t>
  </si>
  <si>
    <t>Résultat d'Exploitation</t>
  </si>
  <si>
    <t>Résultat courant avant impôt</t>
  </si>
  <si>
    <t>Résultat Net Comptable</t>
  </si>
  <si>
    <t>Durée (ans)</t>
  </si>
  <si>
    <t>Frais financiers (remb. annuité constante)</t>
  </si>
  <si>
    <t>Taux d'actualisation</t>
  </si>
  <si>
    <t>Cash Flow Actualisés</t>
  </si>
  <si>
    <t>VAN</t>
  </si>
  <si>
    <t>Indicateurs de rentabilité</t>
  </si>
  <si>
    <t>Valeur Actuelle Nette sur 20 ans</t>
  </si>
  <si>
    <t>TRI du Projet</t>
  </si>
  <si>
    <t>Rentabilité financière (Résultat Net / Fonds propres)</t>
  </si>
  <si>
    <t>Cash Flow - investissement (pour le TRI)</t>
  </si>
  <si>
    <t>Rémunération des fonds propres</t>
  </si>
  <si>
    <t>Surface photovoltaïque (m2)</t>
  </si>
  <si>
    <t>Puissance photovoltaïque (kW)</t>
  </si>
  <si>
    <t>Recettes (€/an)</t>
  </si>
  <si>
    <t>Production annuelle (kWh/an)</t>
  </si>
  <si>
    <t xml:space="preserve">Description du projet PV </t>
  </si>
  <si>
    <t>Coût investissement (€)</t>
  </si>
  <si>
    <t>Charges (€/an)</t>
  </si>
  <si>
    <t>Emprunt bancaire (€)</t>
  </si>
  <si>
    <t xml:space="preserve">Ventes d'électicité </t>
  </si>
  <si>
    <t>Capacité d'Autofinancement</t>
  </si>
  <si>
    <t>Mise en réserves</t>
  </si>
  <si>
    <t>Taux CSG</t>
  </si>
  <si>
    <t>Taux de couverture de la dette</t>
  </si>
  <si>
    <t>TURPE</t>
  </si>
  <si>
    <t>TOTAL</t>
  </si>
  <si>
    <t>Charges exceptionnelles 1ère année</t>
  </si>
  <si>
    <t>IMMATRICULATION</t>
  </si>
  <si>
    <t>Réserves cumulées</t>
  </si>
  <si>
    <t>Rémunération des fonds propres sur 20 ans</t>
  </si>
  <si>
    <t>Taux perte de production/an</t>
  </si>
  <si>
    <t>Mise en réserve années 1 à 3</t>
  </si>
  <si>
    <t>Mise en réserve de 4 à 20 ans</t>
  </si>
  <si>
    <t>Taux emprunt</t>
  </si>
  <si>
    <t>Taux de disponibilité centrale</t>
  </si>
  <si>
    <t>Déficit reportable</t>
  </si>
  <si>
    <t>Dividendes bruts distribuables</t>
  </si>
  <si>
    <t>Dividendes nets distribuables</t>
  </si>
  <si>
    <t>RENOUV MONITORING</t>
  </si>
  <si>
    <t>ANNEE 1</t>
  </si>
  <si>
    <t>ANNEE 11</t>
  </si>
  <si>
    <t>RACCO € HT</t>
  </si>
  <si>
    <t>TRAVAUX</t>
  </si>
  <si>
    <t>TRANCHEES</t>
  </si>
  <si>
    <t>COFFRETS</t>
  </si>
  <si>
    <t>MONITORING</t>
  </si>
  <si>
    <t>SURFACE (M2)</t>
  </si>
  <si>
    <t>MAINTENANCE</t>
  </si>
  <si>
    <t>ASSURANCES</t>
  </si>
  <si>
    <t>LOYERS</t>
  </si>
  <si>
    <t>Charges exceptionnelles 11ème année</t>
  </si>
  <si>
    <t>Intérêts CCA</t>
  </si>
  <si>
    <t>RECETTES €/an</t>
  </si>
  <si>
    <t>RECETTES ANNUELLES</t>
  </si>
  <si>
    <t>Bureau de contrôle</t>
  </si>
  <si>
    <t>Comptable</t>
  </si>
  <si>
    <t>INSTALL 1</t>
  </si>
  <si>
    <t>INSTALL 2</t>
  </si>
  <si>
    <t>INSTALL 3</t>
  </si>
  <si>
    <t>INSTALL 4</t>
  </si>
  <si>
    <t>INSTALL 5</t>
  </si>
  <si>
    <t>INSTALL 6</t>
  </si>
  <si>
    <t>INSTALL 7</t>
  </si>
  <si>
    <t>INSTALL 8</t>
  </si>
  <si>
    <t>INSTALL 9</t>
  </si>
  <si>
    <t>Modèle statutaire</t>
  </si>
  <si>
    <t>SAS</t>
  </si>
  <si>
    <t>SCIC / SAS</t>
  </si>
  <si>
    <t>Impôts</t>
  </si>
  <si>
    <t>sans plan de trésorerie</t>
  </si>
  <si>
    <t>INSTALL 10</t>
  </si>
  <si>
    <t>Comptes-courants d'associés</t>
  </si>
  <si>
    <t>INSTALL 11</t>
  </si>
  <si>
    <t>INSTALL 12</t>
  </si>
  <si>
    <t>INSTALL 13</t>
  </si>
  <si>
    <t>INSTALL 14</t>
  </si>
  <si>
    <t>INSTALL 15</t>
  </si>
  <si>
    <t>INSTALL 16</t>
  </si>
  <si>
    <t>Cases en gris calculées</t>
  </si>
  <si>
    <t>Hypothèses</t>
  </si>
  <si>
    <t>Nombre de parts</t>
  </si>
  <si>
    <t>Montant de la part</t>
  </si>
  <si>
    <t>Cases en jaune à remplir ou modifier</t>
  </si>
  <si>
    <t>Taxe CFE €/an</t>
  </si>
  <si>
    <t>Nom installation</t>
  </si>
  <si>
    <t xml:space="preserve">PV </t>
  </si>
  <si>
    <t>INVESTISSEMENTS (€/HT)</t>
  </si>
  <si>
    <t>DETAIL DES CHARGES ANNUELLES (€ HT/ AN)</t>
  </si>
  <si>
    <t>Ratio € HT/Wc</t>
  </si>
  <si>
    <t>FRAIS BANCAIRES</t>
  </si>
  <si>
    <t>AIDE AU CHIFFRAGE</t>
  </si>
  <si>
    <t>Travaux annexes pris en charge par la société locale (renforcement charpente, déplacement velux, etc.)</t>
  </si>
  <si>
    <t>Estimation sur devis</t>
  </si>
  <si>
    <t>Sur devis en fonction de la distance à chiffrer</t>
  </si>
  <si>
    <t>Servent de protection / habillage pour les onduleurs situés en extérieur (facultatif)</t>
  </si>
  <si>
    <t>Sur devis installateur</t>
  </si>
  <si>
    <t>Extension garantie onduleurs</t>
  </si>
  <si>
    <t>Facultatif - Permet de remplacer automatiquement un onduleur défectueux pendant 10 ans ou 20 ans</t>
  </si>
  <si>
    <t>Maintenance</t>
  </si>
  <si>
    <t>Assurances</t>
  </si>
  <si>
    <t>Loyers</t>
  </si>
  <si>
    <t>Tenue compte</t>
  </si>
  <si>
    <t>Divers</t>
  </si>
  <si>
    <t>Prévoir une visite annuelle complète</t>
  </si>
  <si>
    <t>Taxe annuelle pour l'utilisation du réseau public d'électricité.</t>
  </si>
  <si>
    <t>Selon banque dans laquelle le compte de la société est ouvert</t>
  </si>
  <si>
    <r>
      <t>Surface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</si>
  <si>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Business plan simplifié - Centrales Villageoises XXX</t>
  </si>
  <si>
    <t>INSTALL 17</t>
  </si>
  <si>
    <t>INSTALL 18</t>
  </si>
  <si>
    <t>INSTALL 19</t>
  </si>
  <si>
    <t>INSTALL 20</t>
  </si>
  <si>
    <t>Notes d'aides à la saisie</t>
  </si>
  <si>
    <t>Puissance kWc</t>
  </si>
  <si>
    <t>Pour connaître les tarifs du trimestre actuel, consulter la page Actualités du site des Centrales Villageoises.</t>
  </si>
  <si>
    <t>* Le tarif d'achat dépend du trimestre auquel se fait la demande de raccordement.</t>
  </si>
  <si>
    <t>* Seules les cases jaunes sont à remplir.</t>
  </si>
  <si>
    <t>Tarif d'achat c€/kWh</t>
  </si>
  <si>
    <t>RACCORDEMENT</t>
  </si>
  <si>
    <t>Location des toitures publiques et privées - Peut être négocié avec les propriétaires</t>
  </si>
  <si>
    <t>Frais d'immatrioculation de lasociété locale (environ 400€)</t>
  </si>
  <si>
    <t>Frais associés au prêt bancaire</t>
  </si>
  <si>
    <t>non</t>
  </si>
  <si>
    <t>oui</t>
  </si>
  <si>
    <t>* Colonne A : sélectionner ICI les installations que vous souhaitez inclure dans le périmètre d'étude</t>
  </si>
  <si>
    <t>TOTAL SUR LA SELECTION</t>
  </si>
  <si>
    <t>Taux (%)</t>
  </si>
  <si>
    <t>sélectionner le périmètre</t>
  </si>
  <si>
    <t>Production kWh/an</t>
  </si>
  <si>
    <t>Productiblité</t>
  </si>
  <si>
    <t>Capital apporté</t>
  </si>
  <si>
    <t>Cash flow - TRI sur fonds propres</t>
  </si>
  <si>
    <t xml:space="preserve">SYSTÈME PV </t>
  </si>
  <si>
    <t>AIDE A LA SAISIE</t>
  </si>
  <si>
    <t xml:space="preserve">Système PV = panneaux + système d'intégration + onduleur + câbles + boitiers </t>
  </si>
  <si>
    <t>Très variable selon les contraintes du réseau - Montant exact donné dans la Proposition De Raccordement (PDR) de ENEDIS</t>
  </si>
  <si>
    <t>Coûts très variables selon les toitures, les sysèmes d'intégration, les surfaces, etc. - Voir statistiques des précédents projets</t>
  </si>
  <si>
    <t>Tranchées en zone privée entre onduleur et coffrets ENEDIS en limite de propriété</t>
  </si>
  <si>
    <t xml:space="preserve">Pour les ERP uniquement </t>
  </si>
  <si>
    <t>remplir uniquement les cases en jaune</t>
  </si>
  <si>
    <t>Périmètre sélectionné</t>
  </si>
  <si>
    <t>CHARGES EXCEPTIONNELLES (€ HT)</t>
  </si>
  <si>
    <t>RENOUV ONDULEURS</t>
  </si>
  <si>
    <t>ANNEES 11 A 15</t>
  </si>
  <si>
    <t>Charges exceptionnelles années 11 à 15</t>
  </si>
  <si>
    <t>Subvention</t>
  </si>
  <si>
    <t>Part fonds propres</t>
  </si>
  <si>
    <t>Coût système PV €/Wc</t>
  </si>
  <si>
    <t>Pour un branchement sec, sans renforcement de réseau, compter autour de 2000 €HT (si &gt;36 kVA)</t>
  </si>
  <si>
    <t>De l'ordre de 1000 à 1500€</t>
  </si>
  <si>
    <t>Selon barème MAIF :</t>
  </si>
  <si>
    <t>Soit comptable local soit comptable proposé par l'Association</t>
  </si>
  <si>
    <t>Prévoir une marge minimum de 500 € / an environ (sur l'ensemble de la tranche)</t>
  </si>
  <si>
    <t>Installation 9 kWc : environ 75 €/ an</t>
  </si>
  <si>
    <t>IFER</t>
  </si>
  <si>
    <t>VISITE PERIODIQUE ERP</t>
  </si>
  <si>
    <t>COMPTABILITE</t>
  </si>
  <si>
    <t>DIVERS</t>
  </si>
  <si>
    <t>TENUE COMPTE</t>
  </si>
  <si>
    <t>DEPOT COMPTES AU GREFFE</t>
  </si>
  <si>
    <t>CHARGES DE SOCIETE</t>
  </si>
  <si>
    <t>Dépôt comptes au Greffe</t>
  </si>
  <si>
    <t>45€ par an selon https://www.infogreffe.fr/formalites-entreprise/depot-des-comptes.html</t>
  </si>
  <si>
    <t>Monitoring</t>
  </si>
  <si>
    <t>Selon la solution technique choisie datalogger + plateforme indépendante, boitier RBEE solar, ou solution onduleur…)</t>
  </si>
  <si>
    <t>Coût variable entre 0 et 100€ / an par installation. Prévoir routeur ou carte SIM en sus si besoin d'internet</t>
  </si>
  <si>
    <t>Visite périodique ERP</t>
  </si>
  <si>
    <t>Compliqué à estimer car très différent selon les ERP (la fréquence des visite peut être annuelle ou beaucoup moins fréquente)</t>
  </si>
  <si>
    <t>Cout de la vérification estimé entre 50 € (si réalisé en parallèle de la visite du bâtiment) et 300€ (si réalisé indépendamment)</t>
  </si>
  <si>
    <t>Renouvellement des onduleurs défaillants sur les années 11, 12, 13, 14, 15 - Compter 70% du coût initial</t>
  </si>
  <si>
    <t>BUREAU DE CONTRÔLE ERP</t>
  </si>
  <si>
    <t>EXTENSION ONDULEURS 20 ANS</t>
  </si>
  <si>
    <t>FRAIS DE NOTAIRES</t>
  </si>
  <si>
    <t>AUTRE  (Etudes, AMO, etc)</t>
  </si>
  <si>
    <t>Datalogger : environ 600€</t>
  </si>
  <si>
    <t>Frais de notaire</t>
  </si>
  <si>
    <t>Pour les bâtiments privés uniquement (COT sans notaire pour bâtiments publics)</t>
  </si>
  <si>
    <t>De l'ordre de 500 à 1000 €</t>
  </si>
  <si>
    <t>Renouvellement des boitiers de monitoring au bout de 11 ans : prévoir 70% du coût initial par installation</t>
  </si>
  <si>
    <t>Sur devis installateur et selon les tailles d'installations. Prévoir 300€ / an pour un 36kWc, 500€ / an pour un 100kWc</t>
  </si>
  <si>
    <t>* Colonne G : attention aux unités</t>
  </si>
  <si>
    <t>Entre 300 et 1000€ selon taille et matériaux</t>
  </si>
  <si>
    <t>Taxes (CFE, IFER)</t>
  </si>
  <si>
    <t>Selon barème du TURPE : 33,6€ HT si puissance &lt; 36 kVA, 447,78€/HT entre 36 et 250 kVA et 737,76€HT au-delà de 250 kVA</t>
  </si>
  <si>
    <t>Obj. Rémuné-ration FP</t>
  </si>
  <si>
    <t>Environ 1500 €HT / an</t>
  </si>
  <si>
    <t>Environ 250 €/ an en général</t>
  </si>
  <si>
    <t>Pas d'investissement si solution onduleur utilisée</t>
  </si>
  <si>
    <t>Installation 36kkWc : environ 250 €/ an</t>
  </si>
  <si>
    <t>Installation 100 kWc : environ 600 €/ an</t>
  </si>
  <si>
    <t>Généralement entre 0,5€ et 2 € / m2 de PV / an</t>
  </si>
  <si>
    <t>3,206€ / kWc installé</t>
  </si>
  <si>
    <t>Ne concerne que les installations d'une puissance supérieure ou égale à 100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</si>
</sst>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,##0.0\ _€"/>
    <numFmt numFmtId="168" formatCode="#,##0_ ;\-#,##0\ "/>
    <numFmt numFmtId="169" formatCode="#,##0\ &quot;€&quot;"/>
    <numFmt numFmtId="170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i/>
      <sz val="11"/>
      <color theme="8" tint="-0.249977111117893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u/>
      <sz val="16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" fontId="11" fillId="3" borderId="4" applyNumberFormat="0" applyFont="0" applyBorder="0" applyAlignment="0">
      <alignment horizontal="center"/>
      <protection locked="0"/>
    </xf>
    <xf numFmtId="44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4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34" fillId="0" borderId="0" applyNumberFormat="0" applyFill="0" applyBorder="0" applyAlignment="0" applyProtection="0"/>
    <xf numFmtId="0" fontId="1" fillId="0" borderId="0"/>
  </cellStyleXfs>
  <cellXfs count="184">
    <xf numFmtId="0" fontId="0" fillId="0" borderId="0" xfId="0"/>
    <xf numFmtId="0" fontId="2" fillId="0" borderId="1" xfId="0" applyFont="1" applyBorder="1"/>
    <xf numFmtId="0" fontId="0" fillId="0" borderId="0" xfId="0" applyAlignment="1">
      <alignment wrapText="1"/>
    </xf>
    <xf numFmtId="0" fontId="12" fillId="0" borderId="8" xfId="2" applyFont="1" applyBorder="1" applyAlignment="1">
      <alignment wrapText="1"/>
    </xf>
    <xf numFmtId="0" fontId="14" fillId="4" borderId="5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1" fontId="14" fillId="4" borderId="7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1" fillId="0" borderId="0" xfId="2" applyFont="1" applyAlignment="1">
      <alignment wrapText="1"/>
    </xf>
    <xf numFmtId="0" fontId="13" fillId="0" borderId="0" xfId="2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2" fillId="8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/>
    <xf numFmtId="0" fontId="7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2" fillId="10" borderId="1" xfId="19" applyNumberFormat="1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2" fillId="6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67" fontId="0" fillId="6" borderId="1" xfId="0" applyNumberForma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0" fillId="12" borderId="0" xfId="0" applyFill="1" applyAlignment="1">
      <alignment wrapText="1"/>
    </xf>
    <xf numFmtId="0" fontId="25" fillId="12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0" fontId="0" fillId="6" borderId="1" xfId="0" applyFill="1" applyBorder="1" applyAlignment="1">
      <alignment wrapText="1"/>
    </xf>
    <xf numFmtId="0" fontId="0" fillId="5" borderId="0" xfId="0" applyFill="1"/>
    <xf numFmtId="0" fontId="25" fillId="10" borderId="1" xfId="0" applyFont="1" applyFill="1" applyBorder="1"/>
    <xf numFmtId="0" fontId="0" fillId="5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/>
    <xf numFmtId="0" fontId="4" fillId="0" borderId="0" xfId="0" applyFont="1" applyAlignment="1">
      <alignment wrapText="1"/>
    </xf>
    <xf numFmtId="1" fontId="0" fillId="1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9" fontId="0" fillId="10" borderId="1" xfId="0" applyNumberFormat="1" applyFill="1" applyBorder="1" applyAlignment="1">
      <alignment horizontal="center" vertical="center" wrapText="1"/>
    </xf>
    <xf numFmtId="9" fontId="0" fillId="0" borderId="0" xfId="1" applyFont="1" applyAlignment="1" applyProtection="1">
      <alignment horizontal="center" wrapText="1"/>
    </xf>
    <xf numFmtId="0" fontId="0" fillId="10" borderId="1" xfId="0" applyFill="1" applyBorder="1" applyAlignment="1">
      <alignment horizontal="center" wrapText="1"/>
    </xf>
    <xf numFmtId="1" fontId="0" fillId="10" borderId="1" xfId="0" applyNumberFormat="1" applyFill="1" applyBorder="1" applyAlignment="1">
      <alignment horizontal="center" wrapText="1"/>
    </xf>
    <xf numFmtId="169" fontId="0" fillId="10" borderId="1" xfId="0" applyNumberForma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" fontId="28" fillId="8" borderId="1" xfId="0" applyNumberFormat="1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15" fillId="0" borderId="9" xfId="0" applyFont="1" applyBorder="1" applyAlignment="1">
      <alignment horizontal="left" wrapText="1"/>
    </xf>
    <xf numFmtId="1" fontId="16" fillId="0" borderId="9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9" fontId="0" fillId="0" borderId="1" xfId="1" applyFont="1" applyBorder="1" applyAlignment="1" applyProtection="1">
      <alignment horizontal="center" wrapText="1"/>
    </xf>
    <xf numFmtId="1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0" fontId="0" fillId="10" borderId="1" xfId="0" applyNumberFormat="1" applyFill="1" applyBorder="1" applyAlignment="1">
      <alignment horizontal="center" wrapText="1"/>
    </xf>
    <xf numFmtId="10" fontId="0" fillId="1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6" fontId="0" fillId="0" borderId="0" xfId="0" applyNumberFormat="1" applyAlignment="1">
      <alignment wrapText="1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169" fontId="0" fillId="6" borderId="1" xfId="0" applyNumberFormat="1" applyFill="1" applyBorder="1" applyAlignment="1" applyProtection="1">
      <alignment wrapText="1"/>
      <protection locked="0"/>
    </xf>
    <xf numFmtId="10" fontId="0" fillId="6" borderId="1" xfId="0" applyNumberFormat="1" applyFill="1" applyBorder="1" applyAlignment="1" applyProtection="1">
      <alignment wrapText="1"/>
      <protection locked="0"/>
    </xf>
    <xf numFmtId="10" fontId="0" fillId="6" borderId="1" xfId="0" applyNumberFormat="1" applyFill="1" applyBorder="1" applyAlignment="1" applyProtection="1">
      <alignment horizontal="center" wrapText="1"/>
      <protection locked="0"/>
    </xf>
    <xf numFmtId="169" fontId="0" fillId="6" borderId="1" xfId="0" applyNumberFormat="1" applyFill="1" applyBorder="1" applyAlignment="1" applyProtection="1">
      <alignment horizontal="center" wrapText="1"/>
      <protection locked="0"/>
    </xf>
    <xf numFmtId="10" fontId="0" fillId="6" borderId="1" xfId="0" applyNumberFormat="1" applyFill="1" applyBorder="1" applyAlignment="1" applyProtection="1">
      <alignment vertical="center" wrapText="1"/>
      <protection locked="0"/>
    </xf>
    <xf numFmtId="9" fontId="0" fillId="6" borderId="1" xfId="1" applyFont="1" applyFill="1" applyBorder="1" applyAlignment="1" applyProtection="1">
      <alignment wrapText="1"/>
      <protection locked="0"/>
    </xf>
    <xf numFmtId="165" fontId="0" fillId="6" borderId="1" xfId="1" applyNumberFormat="1" applyFont="1" applyFill="1" applyBorder="1" applyAlignment="1" applyProtection="1">
      <alignment wrapText="1"/>
      <protection locked="0"/>
    </xf>
    <xf numFmtId="166" fontId="0" fillId="6" borderId="1" xfId="19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center" wrapText="1"/>
    </xf>
    <xf numFmtId="2" fontId="0" fillId="10" borderId="1" xfId="0" applyNumberForma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22" fillId="13" borderId="15" xfId="0" applyFont="1" applyFill="1" applyBorder="1" applyAlignment="1">
      <alignment horizontal="left" vertical="center"/>
    </xf>
    <xf numFmtId="0" fontId="2" fillId="13" borderId="14" xfId="0" applyFont="1" applyFill="1" applyBorder="1"/>
    <xf numFmtId="0" fontId="0" fillId="13" borderId="14" xfId="0" applyFill="1" applyBorder="1"/>
    <xf numFmtId="0" fontId="2" fillId="13" borderId="18" xfId="0" applyFont="1" applyFill="1" applyBorder="1"/>
    <xf numFmtId="0" fontId="0" fillId="13" borderId="18" xfId="0" applyFill="1" applyBorder="1"/>
    <xf numFmtId="0" fontId="22" fillId="8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/>
    <xf numFmtId="0" fontId="22" fillId="8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0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35" fillId="0" borderId="0" xfId="0" applyFont="1"/>
    <xf numFmtId="0" fontId="30" fillId="0" borderId="0" xfId="0" applyFont="1"/>
    <xf numFmtId="0" fontId="21" fillId="10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2" fillId="0" borderId="0" xfId="0" applyFont="1" applyAlignment="1">
      <alignment wrapText="1"/>
    </xf>
    <xf numFmtId="9" fontId="7" fillId="0" borderId="0" xfId="0" applyNumberFormat="1" applyFont="1" applyAlignment="1">
      <alignment wrapText="1"/>
    </xf>
    <xf numFmtId="9" fontId="7" fillId="0" borderId="0" xfId="1" applyFont="1" applyAlignment="1" applyProtection="1">
      <alignment wrapText="1"/>
    </xf>
    <xf numFmtId="0" fontId="36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0" fontId="7" fillId="0" borderId="0" xfId="0" applyFont="1"/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4" fillId="0" borderId="0" xfId="38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8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9" fontId="0" fillId="0" borderId="3" xfId="0" applyNumberFormat="1" applyBorder="1" applyAlignment="1">
      <alignment horizontal="center" wrapText="1"/>
    </xf>
    <xf numFmtId="169" fontId="0" fillId="0" borderId="9" xfId="0" applyNumberFormat="1" applyBorder="1" applyAlignment="1">
      <alignment horizontal="center" wrapText="1"/>
    </xf>
    <xf numFmtId="169" fontId="7" fillId="8" borderId="2" xfId="0" applyNumberFormat="1" applyFont="1" applyFill="1" applyBorder="1" applyAlignment="1">
      <alignment horizontal="center" wrapText="1"/>
    </xf>
    <xf numFmtId="0" fontId="39" fillId="14" borderId="1" xfId="0" applyFont="1" applyFill="1" applyBorder="1" applyAlignment="1">
      <alignment horizontal="center"/>
    </xf>
    <xf numFmtId="0" fontId="38" fillId="0" borderId="0" xfId="0" applyFont="1"/>
    <xf numFmtId="0" fontId="38" fillId="0" borderId="19" xfId="0" applyFont="1" applyBorder="1"/>
    <xf numFmtId="0" fontId="22" fillId="11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8" fontId="30" fillId="14" borderId="14" xfId="0" applyNumberFormat="1" applyFont="1" applyFill="1" applyBorder="1" applyAlignment="1">
      <alignment horizontal="center"/>
    </xf>
    <xf numFmtId="1" fontId="39" fillId="14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8" fontId="30" fillId="14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wrapText="1"/>
    </xf>
    <xf numFmtId="168" fontId="30" fillId="14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168" fontId="30" fillId="14" borderId="13" xfId="0" applyNumberFormat="1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13" borderId="18" xfId="0" applyFont="1" applyFill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13" borderId="2" xfId="0" applyFont="1" applyFill="1" applyBorder="1" applyAlignment="1">
      <alignment horizontal="left" vertical="center"/>
    </xf>
    <xf numFmtId="0" fontId="0" fillId="0" borderId="3" xfId="0" applyBorder="1"/>
    <xf numFmtId="0" fontId="21" fillId="10" borderId="1" xfId="0" applyFont="1" applyFill="1" applyBorder="1" applyAlignment="1" applyProtection="1">
      <alignment horizontal="center"/>
      <protection locked="0"/>
    </xf>
    <xf numFmtId="9" fontId="28" fillId="8" borderId="1" xfId="1" applyFont="1" applyFill="1" applyBorder="1" applyAlignment="1" applyProtection="1">
      <alignment horizontal="center" wrapText="1"/>
    </xf>
    <xf numFmtId="9" fontId="0" fillId="8" borderId="1" xfId="1" applyFont="1" applyFill="1" applyBorder="1" applyAlignment="1" applyProtection="1">
      <alignment horizontal="center" wrapText="1"/>
      <protection locked="0"/>
    </xf>
    <xf numFmtId="165" fontId="0" fillId="10" borderId="1" xfId="1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wrapText="1"/>
    </xf>
    <xf numFmtId="165" fontId="0" fillId="6" borderId="1" xfId="0" applyNumberForma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8" fillId="1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7" fillId="8" borderId="1" xfId="0" applyFont="1" applyFill="1" applyBorder="1" applyAlignment="1">
      <alignment horizontal="left" wrapText="1"/>
    </xf>
    <xf numFmtId="0" fontId="27" fillId="8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0" fillId="9" borderId="11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34" fillId="0" borderId="21" xfId="38" applyBorder="1" applyAlignment="1">
      <alignment horizontal="left" vertical="center" wrapText="1"/>
    </xf>
    <xf numFmtId="0" fontId="34" fillId="0" borderId="13" xfId="38" applyBorder="1" applyAlignment="1">
      <alignment horizontal="left" vertical="center" wrapText="1"/>
    </xf>
    <xf numFmtId="0" fontId="40" fillId="7" borderId="0" xfId="0" applyFont="1" applyFill="1" applyAlignment="1">
      <alignment horizontal="center"/>
    </xf>
    <xf numFmtId="0" fontId="39" fillId="14" borderId="2" xfId="0" applyFont="1" applyFill="1" applyBorder="1" applyAlignment="1">
      <alignment horizontal="right"/>
    </xf>
    <xf numFmtId="0" fontId="39" fillId="14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10" borderId="1" xfId="1" applyNumberFormat="1" applyFont="1" applyFill="1" applyBorder="1" applyAlignment="1" applyProtection="1">
      <alignment horizontal="center" vertical="center" wrapText="1"/>
    </xf>
  </cellXfs>
  <cellStyles count="40">
    <cellStyle name="Active" xfId="3" xr:uid="{00000000-0005-0000-0000-000000000000}"/>
    <cellStyle name="Euro" xfId="4" xr:uid="{00000000-0005-0000-0000-000001000000}"/>
    <cellStyle name="Lien hypertexte" xfId="38" builtinId="8"/>
    <cellStyle name="Milliers" xfId="19" builtinId="3"/>
    <cellStyle name="Milliers 2" xfId="5" xr:uid="{00000000-0005-0000-0000-000004000000}"/>
    <cellStyle name="Milliers 2 2" xfId="14" xr:uid="{00000000-0005-0000-0000-000005000000}"/>
    <cellStyle name="Milliers 2 2 2" xfId="31" xr:uid="{00000000-0005-0000-0000-000006000000}"/>
    <cellStyle name="Milliers 2 3" xfId="9" xr:uid="{00000000-0005-0000-0000-000007000000}"/>
    <cellStyle name="Milliers 2 3 2" xfId="26" xr:uid="{00000000-0005-0000-0000-000008000000}"/>
    <cellStyle name="Milliers 2 4" xfId="24" xr:uid="{00000000-0005-0000-0000-000009000000}"/>
    <cellStyle name="Normal" xfId="0" builtinId="0"/>
    <cellStyle name="Normal 2" xfId="6" xr:uid="{00000000-0005-0000-0000-00000B000000}"/>
    <cellStyle name="Normal 3" xfId="7" xr:uid="{00000000-0005-0000-0000-00000C000000}"/>
    <cellStyle name="Normal 4" xfId="2" xr:uid="{00000000-0005-0000-0000-00000D000000}"/>
    <cellStyle name="Normal 4 2" xfId="15" xr:uid="{00000000-0005-0000-0000-00000E000000}"/>
    <cellStyle name="Normal 4 2 2" xfId="32" xr:uid="{00000000-0005-0000-0000-00000F000000}"/>
    <cellStyle name="Normal 4 2 2 2 2 2" xfId="39" xr:uid="{00000000-0005-0000-0000-000010000000}"/>
    <cellStyle name="Normal 4 3" xfId="10" xr:uid="{00000000-0005-0000-0000-000011000000}"/>
    <cellStyle name="Normal 4 3 2" xfId="27" xr:uid="{00000000-0005-0000-0000-000012000000}"/>
    <cellStyle name="Normal 4 4" xfId="23" xr:uid="{00000000-0005-0000-0000-000013000000}"/>
    <cellStyle name="Normal 5" xfId="12" xr:uid="{00000000-0005-0000-0000-000014000000}"/>
    <cellStyle name="Normal 5 2" xfId="17" xr:uid="{00000000-0005-0000-0000-000015000000}"/>
    <cellStyle name="Normal 5 2 2" xfId="34" xr:uid="{00000000-0005-0000-0000-000016000000}"/>
    <cellStyle name="Normal 5 3" xfId="29" xr:uid="{00000000-0005-0000-0000-000017000000}"/>
    <cellStyle name="Normal 6" xfId="20" xr:uid="{00000000-0005-0000-0000-000018000000}"/>
    <cellStyle name="Normal 7" xfId="21" xr:uid="{00000000-0005-0000-0000-000019000000}"/>
    <cellStyle name="Normal 8" xfId="37" xr:uid="{00000000-0005-0000-0000-00001A000000}"/>
    <cellStyle name="Pourcentage" xfId="1" builtinId="5"/>
    <cellStyle name="Pourcentage 2" xfId="8" xr:uid="{00000000-0005-0000-0000-00001C000000}"/>
    <cellStyle name="Pourcentage 2 2" xfId="16" xr:uid="{00000000-0005-0000-0000-00001D000000}"/>
    <cellStyle name="Pourcentage 2 2 2" xfId="33" xr:uid="{00000000-0005-0000-0000-00001E000000}"/>
    <cellStyle name="Pourcentage 2 3" xfId="11" xr:uid="{00000000-0005-0000-0000-00001F000000}"/>
    <cellStyle name="Pourcentage 2 3 2" xfId="28" xr:uid="{00000000-0005-0000-0000-000020000000}"/>
    <cellStyle name="Pourcentage 2 4" xfId="25" xr:uid="{00000000-0005-0000-0000-000021000000}"/>
    <cellStyle name="Pourcentage 3" xfId="13" xr:uid="{00000000-0005-0000-0000-000022000000}"/>
    <cellStyle name="Pourcentage 3 2" xfId="18" xr:uid="{00000000-0005-0000-0000-000023000000}"/>
    <cellStyle name="Pourcentage 3 2 2" xfId="35" xr:uid="{00000000-0005-0000-0000-000024000000}"/>
    <cellStyle name="Pourcentage 3 3" xfId="30" xr:uid="{00000000-0005-0000-0000-000025000000}"/>
    <cellStyle name="Pourcentage 4" xfId="22" xr:uid="{00000000-0005-0000-0000-000026000000}"/>
    <cellStyle name="Pourcentage 5" xfId="36" xr:uid="{00000000-0005-0000-0000-000027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SIG!$D$20:$W$20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5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9</c:v>
                </c:pt>
                <c:pt idx="9" formatCode="0">
                  <c:v>10</c:v>
                </c:pt>
                <c:pt idx="10" formatCode="0">
                  <c:v>11</c:v>
                </c:pt>
                <c:pt idx="11" formatCode="0">
                  <c:v>12</c:v>
                </c:pt>
                <c:pt idx="12" formatCode="0">
                  <c:v>13</c:v>
                </c:pt>
                <c:pt idx="13" formatCode="0">
                  <c:v>14</c:v>
                </c:pt>
                <c:pt idx="14" formatCode="0">
                  <c:v>15</c:v>
                </c:pt>
                <c:pt idx="15" formatCode="0">
                  <c:v>16</c:v>
                </c:pt>
                <c:pt idx="16" formatCode="0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SIG!$D$40:$W$40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F-40DC-AF77-771461613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81856"/>
        <c:axId val="437483392"/>
      </c:barChart>
      <c:catAx>
        <c:axId val="4374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7483392"/>
        <c:crosses val="autoZero"/>
        <c:auto val="1"/>
        <c:lblAlgn val="ctr"/>
        <c:lblOffset val="100"/>
        <c:noMultiLvlLbl val="0"/>
      </c:catAx>
      <c:valAx>
        <c:axId val="437483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VAN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4.3506853310002924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3748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321470</xdr:colOff>
      <xdr:row>0</xdr:row>
      <xdr:rowOff>0</xdr:rowOff>
    </xdr:from>
    <xdr:to>
      <xdr:col>19</xdr:col>
      <xdr:colOff>496436</xdr:colOff>
      <xdr:row>3</xdr:row>
      <xdr:rowOff>130968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1" y="0"/>
          <a:ext cx="1853748" cy="77390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19</xdr:col>
      <xdr:colOff>500063</xdr:colOff>
      <xdr:row>0</xdr:row>
      <xdr:rowOff>0</xdr:rowOff>
    </xdr:from>
    <xdr:to>
      <xdr:col>23</xdr:col>
      <xdr:colOff>11906</xdr:colOff>
      <xdr:row>3</xdr:row>
      <xdr:rowOff>97768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6" y="0"/>
          <a:ext cx="1750218" cy="74070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14</xdr:col>
      <xdr:colOff>404812</xdr:colOff>
      <xdr:row>63</xdr:row>
      <xdr:rowOff>198835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8B498DE-3032-43F6-8253-EE907A38D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59532</xdr:rowOff>
    </xdr:from>
    <xdr:to>
      <xdr:col>0</xdr:col>
      <xdr:colOff>392906</xdr:colOff>
      <xdr:row>2</xdr:row>
      <xdr:rowOff>369094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00" y="595313"/>
          <a:ext cx="202406" cy="309562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entralesvillageoises.fr/actualites" TargetMode="External"/><Relationship Id="rId1" Type="http://schemas.openxmlformats.org/officeDocument/2006/relationships/hyperlink" Target="http://www.centralesvillageoises.fr/web/guest/actualite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2"/>
  <sheetViews>
    <sheetView showGridLines="0" tabSelected="1" topLeftCell="A38" zoomScale="80" zoomScaleNormal="80" workbookViewId="0">
      <selection activeCell="K51" sqref="K51"/>
    </sheetView>
  </sheetViews>
  <sheetFormatPr baseColWidth="10" defaultColWidth="11.5703125" defaultRowHeight="16.899999999999999" customHeight="1" x14ac:dyDescent="0.25"/>
  <cols>
    <col min="1" max="1" width="23.5703125" style="2" customWidth="1"/>
    <col min="2" max="2" width="16.5703125" style="2" customWidth="1"/>
    <col min="3" max="3" width="13.28515625" style="2" customWidth="1"/>
    <col min="4" max="4" width="12.7109375" style="2" customWidth="1"/>
    <col min="5" max="5" width="8.42578125" style="2" customWidth="1"/>
    <col min="6" max="6" width="10.7109375" style="2" customWidth="1"/>
    <col min="7" max="11" width="8.42578125" style="2" customWidth="1"/>
    <col min="12" max="12" width="10.28515625" style="2" customWidth="1"/>
    <col min="13" max="13" width="9.5703125" style="2" customWidth="1"/>
    <col min="14" max="23" width="8.42578125" style="2" customWidth="1"/>
    <col min="24" max="25" width="11.5703125" style="2"/>
    <col min="26" max="26" width="14.7109375" style="2" customWidth="1"/>
    <col min="27" max="27" width="11.5703125" style="100"/>
    <col min="28" max="32" width="11.5703125" style="100" customWidth="1"/>
    <col min="33" max="35" width="11.5703125" style="100"/>
    <col min="36" max="16384" width="11.5703125" style="2"/>
  </cols>
  <sheetData>
    <row r="1" spans="1:39" s="34" customFormat="1" ht="16.899999999999999" customHeight="1" x14ac:dyDescent="0.35">
      <c r="A1" s="157" t="s">
        <v>119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Y1" s="2"/>
      <c r="Z1" s="2"/>
      <c r="AA1" s="100"/>
      <c r="AC1" s="101"/>
      <c r="AD1" s="102">
        <v>1</v>
      </c>
      <c r="AE1" s="100"/>
      <c r="AF1" s="100"/>
      <c r="AG1" s="100"/>
      <c r="AH1" s="100"/>
      <c r="AI1" s="100"/>
      <c r="AJ1" s="2"/>
      <c r="AK1" s="2"/>
      <c r="AL1" s="2"/>
      <c r="AM1" s="2"/>
    </row>
    <row r="2" spans="1:39" ht="16.899999999999999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81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AB2" s="100">
        <f t="shared" ref="AB2:AB10" si="0">AB3-20</f>
        <v>200</v>
      </c>
      <c r="AC2" s="100">
        <v>8</v>
      </c>
      <c r="AD2" s="102">
        <v>1.01</v>
      </c>
      <c r="AE2" s="100" t="s">
        <v>79</v>
      </c>
      <c r="AF2" s="102">
        <v>0.05</v>
      </c>
    </row>
    <row r="3" spans="1:39" ht="16.899999999999999" customHeight="1" x14ac:dyDescent="0.25">
      <c r="A3" s="37"/>
      <c r="B3" s="37"/>
      <c r="C3" s="37"/>
      <c r="D3" s="37"/>
      <c r="E3" s="37"/>
      <c r="F3" s="37"/>
      <c r="G3" s="38"/>
      <c r="H3" s="39" t="s">
        <v>94</v>
      </c>
      <c r="I3" s="39"/>
      <c r="J3" s="37"/>
      <c r="K3" s="37"/>
      <c r="L3" s="37"/>
      <c r="M3" s="40"/>
      <c r="N3" s="41" t="s">
        <v>90</v>
      </c>
      <c r="O3" s="37"/>
      <c r="P3" s="37"/>
      <c r="Q3" s="37"/>
      <c r="R3" s="37"/>
      <c r="S3" s="37"/>
      <c r="T3" s="37"/>
      <c r="U3" s="37"/>
      <c r="V3" s="37"/>
      <c r="W3" s="37"/>
      <c r="AB3" s="100">
        <f t="shared" si="0"/>
        <v>220</v>
      </c>
      <c r="AC3" s="100">
        <v>9</v>
      </c>
      <c r="AD3" s="102"/>
      <c r="AE3" s="100" t="s">
        <v>78</v>
      </c>
      <c r="AF3" s="102"/>
    </row>
    <row r="4" spans="1:39" ht="16.899999999999999" customHeight="1" x14ac:dyDescent="0.25">
      <c r="A4" s="2" t="s">
        <v>77</v>
      </c>
      <c r="B4" s="70" t="s">
        <v>78</v>
      </c>
      <c r="J4" s="18"/>
      <c r="AB4" s="100">
        <f t="shared" si="0"/>
        <v>240</v>
      </c>
      <c r="AC4" s="100">
        <v>10</v>
      </c>
      <c r="AD4" s="102"/>
      <c r="AF4" s="102"/>
    </row>
    <row r="5" spans="1:39" ht="16.899999999999999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AB5" s="100">
        <f t="shared" si="0"/>
        <v>260</v>
      </c>
      <c r="AC5" s="100">
        <v>11</v>
      </c>
      <c r="AD5" s="102">
        <v>1.02</v>
      </c>
      <c r="AF5" s="102">
        <f>AF2+5%</f>
        <v>0.1</v>
      </c>
    </row>
    <row r="6" spans="1:39" s="46" customFormat="1" ht="16.899999999999999" customHeight="1" x14ac:dyDescent="0.25">
      <c r="A6" s="43" t="s">
        <v>27</v>
      </c>
      <c r="B6" s="43"/>
      <c r="C6" s="43"/>
      <c r="D6" s="44"/>
      <c r="E6" s="44"/>
      <c r="F6" s="45" t="s">
        <v>91</v>
      </c>
      <c r="G6" s="44"/>
      <c r="H6" s="44"/>
      <c r="I6" s="44"/>
      <c r="J6" s="44"/>
      <c r="K6" s="158" t="s">
        <v>0</v>
      </c>
      <c r="L6" s="158"/>
      <c r="M6" s="158"/>
      <c r="N6" s="158"/>
      <c r="O6" s="44"/>
      <c r="P6" s="44"/>
      <c r="Q6" s="44"/>
      <c r="R6" s="44"/>
      <c r="S6" s="44"/>
      <c r="T6" s="44"/>
      <c r="U6" s="44"/>
      <c r="V6" s="44"/>
      <c r="W6" s="44"/>
      <c r="Y6" s="2"/>
      <c r="Z6" s="2"/>
      <c r="AA6" s="100"/>
      <c r="AB6" s="100">
        <f t="shared" si="0"/>
        <v>280</v>
      </c>
      <c r="AC6" s="100">
        <v>12</v>
      </c>
      <c r="AD6" s="103">
        <v>1.03</v>
      </c>
      <c r="AE6" s="100"/>
      <c r="AF6" s="102">
        <f t="shared" ref="AF6:AF14" si="1">AF5+5%</f>
        <v>0.15000000000000002</v>
      </c>
      <c r="AG6" s="100"/>
      <c r="AH6" s="100"/>
      <c r="AI6" s="100"/>
      <c r="AJ6" s="2"/>
      <c r="AK6" s="2"/>
      <c r="AL6" s="2"/>
      <c r="AM6" s="2"/>
    </row>
    <row r="7" spans="1:39" ht="16.899999999999999" customHeight="1" x14ac:dyDescent="0.25">
      <c r="AB7" s="100">
        <f t="shared" si="0"/>
        <v>300</v>
      </c>
      <c r="AC7" s="100">
        <v>13</v>
      </c>
      <c r="AD7" s="103">
        <f>1%+AD6</f>
        <v>1.04</v>
      </c>
      <c r="AF7" s="102">
        <f t="shared" si="1"/>
        <v>0.2</v>
      </c>
    </row>
    <row r="8" spans="1:39" s="48" customFormat="1" ht="15" x14ac:dyDescent="0.25">
      <c r="A8" s="152" t="s">
        <v>23</v>
      </c>
      <c r="B8" s="153"/>
      <c r="C8" s="47">
        <f>ENCAISSEMENTS!C24</f>
        <v>0</v>
      </c>
      <c r="F8" s="152" t="s">
        <v>42</v>
      </c>
      <c r="G8" s="154"/>
      <c r="H8" s="153"/>
      <c r="I8" s="75">
        <v>5.0000000000000001E-3</v>
      </c>
      <c r="K8" s="152" t="s">
        <v>142</v>
      </c>
      <c r="L8" s="153"/>
      <c r="M8" s="49">
        <f>M9*M10</f>
        <v>0</v>
      </c>
      <c r="N8" s="50"/>
      <c r="O8" s="152" t="s">
        <v>83</v>
      </c>
      <c r="P8" s="153"/>
      <c r="Q8" s="71"/>
      <c r="R8" s="2"/>
      <c r="S8" s="152" t="s">
        <v>158</v>
      </c>
      <c r="T8" s="154"/>
      <c r="U8" s="153"/>
      <c r="V8" s="148" t="e">
        <f>(M8+M14)/C11</f>
        <v>#DIV/0!</v>
      </c>
      <c r="W8" s="2"/>
      <c r="X8" s="2"/>
      <c r="Y8" s="2"/>
      <c r="Z8" s="2"/>
      <c r="AA8" s="100"/>
      <c r="AB8" s="100">
        <f t="shared" si="0"/>
        <v>320</v>
      </c>
      <c r="AC8" s="100">
        <v>14</v>
      </c>
      <c r="AD8" s="103">
        <f t="shared" ref="AD8:AD19" si="2">1%+AD7</f>
        <v>1.05</v>
      </c>
      <c r="AE8" s="104"/>
      <c r="AF8" s="102">
        <f t="shared" si="1"/>
        <v>0.25</v>
      </c>
      <c r="AG8" s="104"/>
      <c r="AH8" s="104"/>
      <c r="AI8" s="104"/>
    </row>
    <row r="9" spans="1:39" ht="15" x14ac:dyDescent="0.25">
      <c r="A9" s="155" t="s">
        <v>24</v>
      </c>
      <c r="B9" s="156"/>
      <c r="C9" s="51">
        <f>ENCAISSEMENTS!D24</f>
        <v>0</v>
      </c>
      <c r="F9" s="152" t="s">
        <v>3</v>
      </c>
      <c r="G9" s="154"/>
      <c r="H9" s="153"/>
      <c r="I9" s="75">
        <v>5.0000000000000001E-3</v>
      </c>
      <c r="K9" s="155" t="s">
        <v>92</v>
      </c>
      <c r="L9" s="156"/>
      <c r="M9" s="70"/>
      <c r="O9" s="152" t="s">
        <v>138</v>
      </c>
      <c r="P9" s="153"/>
      <c r="Q9" s="72"/>
      <c r="AB9" s="100">
        <f t="shared" si="0"/>
        <v>340</v>
      </c>
      <c r="AC9" s="100">
        <v>15</v>
      </c>
      <c r="AD9" s="103">
        <f t="shared" si="2"/>
        <v>1.06</v>
      </c>
      <c r="AF9" s="102">
        <f t="shared" si="1"/>
        <v>0.3</v>
      </c>
    </row>
    <row r="10" spans="1:39" ht="15" x14ac:dyDescent="0.25">
      <c r="A10" s="152" t="s">
        <v>26</v>
      </c>
      <c r="B10" s="153"/>
      <c r="C10" s="52">
        <f>ENCAISSEMENTS!E24</f>
        <v>0</v>
      </c>
      <c r="F10" s="152" t="s">
        <v>4</v>
      </c>
      <c r="G10" s="154"/>
      <c r="H10" s="153"/>
      <c r="I10" s="72">
        <v>2.5000000000000001E-2</v>
      </c>
      <c r="K10" s="155" t="s">
        <v>93</v>
      </c>
      <c r="L10" s="156"/>
      <c r="M10" s="74"/>
      <c r="O10" s="152" t="s">
        <v>12</v>
      </c>
      <c r="P10" s="153"/>
      <c r="Q10" s="69"/>
      <c r="S10" s="152" t="s">
        <v>159</v>
      </c>
      <c r="T10" s="154"/>
      <c r="U10" s="153"/>
      <c r="V10" s="134" t="e">
        <f>DECAISSEMENTS!C24/(ENCAISSEMENTS!D24*1000)</f>
        <v>#DIV/0!</v>
      </c>
      <c r="AB10" s="100">
        <f t="shared" si="0"/>
        <v>360</v>
      </c>
      <c r="AC10" s="100">
        <v>16</v>
      </c>
      <c r="AD10" s="103">
        <f t="shared" si="2"/>
        <v>1.07</v>
      </c>
      <c r="AF10" s="102">
        <f t="shared" si="1"/>
        <v>0.35</v>
      </c>
    </row>
    <row r="11" spans="1:39" ht="15" x14ac:dyDescent="0.25">
      <c r="A11" s="118" t="s">
        <v>28</v>
      </c>
      <c r="B11" s="119"/>
      <c r="C11" s="53">
        <f>DECAISSEMENTS!M24</f>
        <v>0</v>
      </c>
      <c r="F11" s="152" t="s">
        <v>43</v>
      </c>
      <c r="G11" s="154"/>
      <c r="H11" s="153"/>
      <c r="I11" s="76">
        <v>1</v>
      </c>
      <c r="K11" s="152" t="s">
        <v>30</v>
      </c>
      <c r="L11" s="153"/>
      <c r="M11" s="49">
        <f>1.01*C11-M8-Q8-M14</f>
        <v>0</v>
      </c>
      <c r="N11"/>
      <c r="AB11" s="100">
        <f>AB12-20</f>
        <v>380</v>
      </c>
      <c r="AD11" s="103">
        <f t="shared" si="2"/>
        <v>1.08</v>
      </c>
      <c r="AF11" s="102">
        <f t="shared" si="1"/>
        <v>0.39999999999999997</v>
      </c>
    </row>
    <row r="12" spans="1:39" ht="15" x14ac:dyDescent="0.25">
      <c r="A12" s="118" t="s">
        <v>25</v>
      </c>
      <c r="B12" s="119"/>
      <c r="C12" s="53">
        <f>ENCAISSEMENTS!H24</f>
        <v>0</v>
      </c>
      <c r="F12" s="152" t="s">
        <v>44</v>
      </c>
      <c r="G12" s="154"/>
      <c r="H12" s="153"/>
      <c r="I12" s="77">
        <v>0.3</v>
      </c>
      <c r="K12" s="155" t="s">
        <v>45</v>
      </c>
      <c r="L12" s="156"/>
      <c r="M12" s="73"/>
      <c r="O12" s="150" t="s">
        <v>196</v>
      </c>
      <c r="P12" s="150"/>
      <c r="Q12" s="151">
        <v>2.5000000000000001E-2</v>
      </c>
      <c r="AB12" s="100">
        <v>400</v>
      </c>
      <c r="AD12" s="103">
        <f t="shared" si="2"/>
        <v>1.0900000000000001</v>
      </c>
      <c r="AF12" s="102">
        <f t="shared" si="1"/>
        <v>0.44999999999999996</v>
      </c>
    </row>
    <row r="13" spans="1:39" ht="15" x14ac:dyDescent="0.25">
      <c r="A13" s="118" t="s">
        <v>29</v>
      </c>
      <c r="B13" s="119"/>
      <c r="C13" s="53">
        <f>DECAISSEMENTS!K54+DECAISSEMENTS!H30-DECAISSEMENTS!H54</f>
        <v>2295</v>
      </c>
      <c r="F13" s="152" t="s">
        <v>14</v>
      </c>
      <c r="G13" s="154"/>
      <c r="H13" s="153"/>
      <c r="I13" s="149" t="e">
        <f>(M8*Q12+M11*M12*(1-0.15))/(M8+M11)</f>
        <v>#DIV/0!</v>
      </c>
      <c r="K13" s="155" t="s">
        <v>12</v>
      </c>
      <c r="L13" s="156"/>
      <c r="M13" s="70"/>
      <c r="O13" s="150"/>
      <c r="P13" s="150"/>
      <c r="Q13" s="151"/>
      <c r="AB13" s="100">
        <v>450</v>
      </c>
      <c r="AD13" s="103">
        <f t="shared" si="2"/>
        <v>1.1000000000000001</v>
      </c>
      <c r="AF13" s="102">
        <f t="shared" si="1"/>
        <v>0.49999999999999994</v>
      </c>
    </row>
    <row r="14" spans="1:39" ht="15" x14ac:dyDescent="0.25">
      <c r="A14" s="152" t="s">
        <v>38</v>
      </c>
      <c r="B14" s="153"/>
      <c r="C14" s="53">
        <f>DECAISSEMENTS!E58+DECAISSEMENTS!E59</f>
        <v>0</v>
      </c>
      <c r="F14" s="152" t="s">
        <v>34</v>
      </c>
      <c r="G14" s="154"/>
      <c r="H14" s="153"/>
      <c r="I14" s="77">
        <v>0.17199999999999999</v>
      </c>
      <c r="K14" s="155" t="s">
        <v>157</v>
      </c>
      <c r="L14" s="156"/>
      <c r="M14" s="70"/>
      <c r="AB14" s="100">
        <v>475</v>
      </c>
      <c r="AD14" s="103">
        <f t="shared" si="2"/>
        <v>1.1100000000000001</v>
      </c>
      <c r="AF14" s="102">
        <f t="shared" si="1"/>
        <v>0.54999999999999993</v>
      </c>
    </row>
    <row r="15" spans="1:39" ht="14.45" customHeight="1" x14ac:dyDescent="0.25">
      <c r="A15" s="155" t="s">
        <v>62</v>
      </c>
      <c r="B15" s="156"/>
      <c r="C15" s="53">
        <f>DECAISSEMENTS!E60</f>
        <v>0</v>
      </c>
      <c r="F15" s="165" t="s">
        <v>46</v>
      </c>
      <c r="G15" s="166"/>
      <c r="H15" s="167"/>
      <c r="I15" s="77">
        <v>0.99</v>
      </c>
      <c r="K15"/>
      <c r="L15"/>
      <c r="M15"/>
      <c r="N15"/>
      <c r="AB15" s="100">
        <v>500</v>
      </c>
      <c r="AD15" s="103">
        <f t="shared" si="2"/>
        <v>1.1200000000000001</v>
      </c>
      <c r="AF15" s="105">
        <v>0.57499999999999996</v>
      </c>
    </row>
    <row r="16" spans="1:39" ht="14.45" customHeight="1" x14ac:dyDescent="0.25">
      <c r="A16" s="155" t="s">
        <v>156</v>
      </c>
      <c r="B16" s="156"/>
      <c r="C16" s="53">
        <f>DECAISSEMENTS!E61</f>
        <v>0</v>
      </c>
      <c r="F16" s="54" t="s">
        <v>95</v>
      </c>
      <c r="G16" s="55"/>
      <c r="H16" s="56"/>
      <c r="I16" s="78">
        <v>500</v>
      </c>
      <c r="AB16" s="100">
        <f>AB15+50</f>
        <v>550</v>
      </c>
      <c r="AD16" s="103">
        <f t="shared" si="2"/>
        <v>1.1300000000000001</v>
      </c>
      <c r="AF16" s="102">
        <f>AF14+5%</f>
        <v>0.6</v>
      </c>
    </row>
    <row r="17" spans="1:44" ht="16.899999999999999" customHeight="1" x14ac:dyDescent="0.25">
      <c r="AB17" s="100">
        <f>AB16+10</f>
        <v>560</v>
      </c>
      <c r="AD17" s="103">
        <f t="shared" si="2"/>
        <v>1.1400000000000001</v>
      </c>
      <c r="AF17" s="102">
        <f>AF16+5%</f>
        <v>0.65</v>
      </c>
    </row>
    <row r="18" spans="1:44" ht="16.899999999999999" customHeight="1" x14ac:dyDescent="0.25">
      <c r="A18" s="158" t="s">
        <v>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AB18" s="100">
        <f t="shared" ref="AB18:AB47" si="3">AB17+10</f>
        <v>570</v>
      </c>
      <c r="AD18" s="103">
        <f t="shared" si="2"/>
        <v>1.1500000000000001</v>
      </c>
      <c r="AF18" s="102">
        <f>AF17+5%</f>
        <v>0.70000000000000007</v>
      </c>
    </row>
    <row r="19" spans="1:44" ht="16.899999999999999" customHeight="1" thickBot="1" x14ac:dyDescent="0.3">
      <c r="AB19" s="100">
        <f t="shared" si="3"/>
        <v>580</v>
      </c>
      <c r="AD19" s="103">
        <f t="shared" si="2"/>
        <v>1.1600000000000001</v>
      </c>
      <c r="AF19" s="102">
        <f>AF18+5%</f>
        <v>0.75000000000000011</v>
      </c>
    </row>
    <row r="20" spans="1:44" ht="16.899999999999999" customHeight="1" x14ac:dyDescent="0.25">
      <c r="B20" s="3"/>
      <c r="C20" s="4">
        <v>0</v>
      </c>
      <c r="D20" s="4">
        <v>1</v>
      </c>
      <c r="E20" s="5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5">
        <v>18</v>
      </c>
      <c r="V20" s="5">
        <v>19</v>
      </c>
      <c r="W20" s="7">
        <v>20</v>
      </c>
      <c r="AB20" s="100">
        <f t="shared" si="3"/>
        <v>590</v>
      </c>
      <c r="AF20" s="102">
        <f>AF19+5%</f>
        <v>0.80000000000000016</v>
      </c>
      <c r="AN20" s="8"/>
      <c r="AO20" s="8"/>
      <c r="AP20" s="8"/>
      <c r="AQ20" s="8"/>
      <c r="AR20" s="9"/>
    </row>
    <row r="21" spans="1:44" ht="16.899999999999999" customHeight="1" x14ac:dyDescent="0.25">
      <c r="A21" s="159" t="s">
        <v>31</v>
      </c>
      <c r="B21" s="160"/>
      <c r="C21" s="114"/>
      <c r="D21" s="52">
        <f>C12*$I$15</f>
        <v>0</v>
      </c>
      <c r="E21" s="52">
        <f t="shared" ref="E21:W21" si="4">$D$21*(1-perte_prod)^(E20-1)*(1+index_tarif)^(E20-1)</f>
        <v>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0</v>
      </c>
      <c r="R21" s="52">
        <f t="shared" si="4"/>
        <v>0</v>
      </c>
      <c r="S21" s="52">
        <f t="shared" si="4"/>
        <v>0</v>
      </c>
      <c r="T21" s="52">
        <f t="shared" si="4"/>
        <v>0</v>
      </c>
      <c r="U21" s="52">
        <f t="shared" si="4"/>
        <v>0</v>
      </c>
      <c r="V21" s="52">
        <f t="shared" si="4"/>
        <v>0</v>
      </c>
      <c r="W21" s="52">
        <f t="shared" si="4"/>
        <v>0</v>
      </c>
      <c r="AB21" s="100">
        <f t="shared" si="3"/>
        <v>600</v>
      </c>
      <c r="AF21" s="102">
        <f t="shared" ref="AF21:AF24" si="5">AF20+5%</f>
        <v>0.8500000000000002</v>
      </c>
    </row>
    <row r="22" spans="1:44" ht="16.899999999999999" customHeight="1" x14ac:dyDescent="0.25">
      <c r="A22" s="159" t="s">
        <v>1</v>
      </c>
      <c r="B22" s="160"/>
      <c r="C22" s="114"/>
      <c r="D22" s="52">
        <f>C14+C13</f>
        <v>2295</v>
      </c>
      <c r="E22" s="52">
        <f t="shared" ref="E22:M22" si="6">$C$13*(1+inflation)^(E20-1)</f>
        <v>2352.375</v>
      </c>
      <c r="F22" s="52">
        <f t="shared" si="6"/>
        <v>2411.1843749999998</v>
      </c>
      <c r="G22" s="52">
        <f t="shared" si="6"/>
        <v>2471.4639843749997</v>
      </c>
      <c r="H22" s="52">
        <f t="shared" si="6"/>
        <v>2533.2505839843743</v>
      </c>
      <c r="I22" s="52">
        <f t="shared" si="6"/>
        <v>2596.5818485839836</v>
      </c>
      <c r="J22" s="52">
        <f t="shared" si="6"/>
        <v>2661.496394798583</v>
      </c>
      <c r="K22" s="52">
        <f t="shared" si="6"/>
        <v>2728.0338046685479</v>
      </c>
      <c r="L22" s="52">
        <f t="shared" si="6"/>
        <v>2796.2346497852614</v>
      </c>
      <c r="M22" s="52">
        <f t="shared" si="6"/>
        <v>2866.1405160298923</v>
      </c>
      <c r="N22" s="52">
        <f>(C15+C13+C16/5)*(1+inflation)^(N20-1)</f>
        <v>2937.7940289306393</v>
      </c>
      <c r="O22" s="52">
        <f>($C$13+C16/5)*(1+inflation)^(O20-1)</f>
        <v>3011.2388796539053</v>
      </c>
      <c r="P22" s="52">
        <f>($C$13+C16/5)*(1+inflation)^(P20-1)</f>
        <v>3086.5198516452529</v>
      </c>
      <c r="Q22" s="52">
        <f>($C$13+C16/5)*(1+inflation)^(Q20-1)</f>
        <v>3163.682847936384</v>
      </c>
      <c r="R22" s="52">
        <f>($C$13+C16/5)*(1+inflation)^(R20-1)</f>
        <v>3242.7749191347934</v>
      </c>
      <c r="S22" s="52">
        <f t="shared" ref="S22:W22" si="7">$C$13*(1+inflation)^(S20-1)</f>
        <v>3323.8442921131636</v>
      </c>
      <c r="T22" s="52">
        <f t="shared" si="7"/>
        <v>3406.9403994159925</v>
      </c>
      <c r="U22" s="52">
        <f t="shared" si="7"/>
        <v>3492.1139094013915</v>
      </c>
      <c r="V22" s="52">
        <f t="shared" si="7"/>
        <v>3579.4167571364264</v>
      </c>
      <c r="W22" s="52">
        <f t="shared" si="7"/>
        <v>3668.9021760648375</v>
      </c>
      <c r="AB22" s="100">
        <f t="shared" si="3"/>
        <v>610</v>
      </c>
      <c r="AF22" s="102">
        <f t="shared" si="5"/>
        <v>0.90000000000000024</v>
      </c>
    </row>
    <row r="23" spans="1:44" s="58" customFormat="1" ht="16.899999999999999" customHeight="1" x14ac:dyDescent="0.25">
      <c r="A23" s="161" t="s">
        <v>5</v>
      </c>
      <c r="B23" s="162"/>
      <c r="C23" s="116"/>
      <c r="D23" s="57">
        <f>D21-D22</f>
        <v>-2295</v>
      </c>
      <c r="E23" s="57">
        <f t="shared" ref="E23:W23" si="8">E21-E22</f>
        <v>-2352.375</v>
      </c>
      <c r="F23" s="57">
        <f t="shared" si="8"/>
        <v>-2411.1843749999998</v>
      </c>
      <c r="G23" s="57">
        <f t="shared" si="8"/>
        <v>-2471.4639843749997</v>
      </c>
      <c r="H23" s="57">
        <f t="shared" si="8"/>
        <v>-2533.2505839843743</v>
      </c>
      <c r="I23" s="57">
        <f t="shared" si="8"/>
        <v>-2596.5818485839836</v>
      </c>
      <c r="J23" s="57">
        <f t="shared" si="8"/>
        <v>-2661.496394798583</v>
      </c>
      <c r="K23" s="57">
        <f t="shared" si="8"/>
        <v>-2728.0338046685479</v>
      </c>
      <c r="L23" s="57">
        <f t="shared" si="8"/>
        <v>-2796.2346497852614</v>
      </c>
      <c r="M23" s="57">
        <f t="shared" si="8"/>
        <v>-2866.1405160298923</v>
      </c>
      <c r="N23" s="57">
        <f t="shared" si="8"/>
        <v>-2937.7940289306393</v>
      </c>
      <c r="O23" s="57">
        <f t="shared" si="8"/>
        <v>-3011.2388796539053</v>
      </c>
      <c r="P23" s="57">
        <f t="shared" si="8"/>
        <v>-3086.5198516452529</v>
      </c>
      <c r="Q23" s="57">
        <f t="shared" si="8"/>
        <v>-3163.682847936384</v>
      </c>
      <c r="R23" s="57">
        <f t="shared" si="8"/>
        <v>-3242.7749191347934</v>
      </c>
      <c r="S23" s="57">
        <f t="shared" si="8"/>
        <v>-3323.8442921131636</v>
      </c>
      <c r="T23" s="57">
        <f t="shared" si="8"/>
        <v>-3406.9403994159925</v>
      </c>
      <c r="U23" s="57">
        <f t="shared" si="8"/>
        <v>-3492.1139094013915</v>
      </c>
      <c r="V23" s="57">
        <f t="shared" si="8"/>
        <v>-3579.4167571364264</v>
      </c>
      <c r="W23" s="57">
        <f t="shared" si="8"/>
        <v>-3668.9021760648375</v>
      </c>
      <c r="AA23" s="100"/>
      <c r="AB23" s="100">
        <f t="shared" si="3"/>
        <v>620</v>
      </c>
      <c r="AC23" s="100"/>
      <c r="AD23" s="100"/>
      <c r="AE23" s="100"/>
      <c r="AF23" s="102">
        <f t="shared" si="5"/>
        <v>0.95000000000000029</v>
      </c>
      <c r="AG23" s="100"/>
      <c r="AH23" s="100"/>
      <c r="AI23" s="100"/>
    </row>
    <row r="24" spans="1:44" ht="16.899999999999999" customHeight="1" x14ac:dyDescent="0.25">
      <c r="A24" s="159" t="s">
        <v>194</v>
      </c>
      <c r="B24" s="160"/>
      <c r="C24" s="114"/>
      <c r="D24" s="52">
        <f>$I$16+DECAISSEMENTS!$H$54</f>
        <v>500</v>
      </c>
      <c r="E24" s="52">
        <f>$I$16+DECAISSEMENTS!$H$54</f>
        <v>500</v>
      </c>
      <c r="F24" s="52">
        <f>$I$16+DECAISSEMENTS!$H$54</f>
        <v>500</v>
      </c>
      <c r="G24" s="52">
        <f>$I$16+DECAISSEMENTS!$H$54</f>
        <v>500</v>
      </c>
      <c r="H24" s="52">
        <f>$I$16+DECAISSEMENTS!$H$54</f>
        <v>500</v>
      </c>
      <c r="I24" s="52">
        <f>$I$16+DECAISSEMENTS!$H$54</f>
        <v>500</v>
      </c>
      <c r="J24" s="52">
        <f>$I$16+DECAISSEMENTS!$H$54</f>
        <v>500</v>
      </c>
      <c r="K24" s="52">
        <f>$I$16+DECAISSEMENTS!$H$54</f>
        <v>500</v>
      </c>
      <c r="L24" s="52">
        <f>$I$16+DECAISSEMENTS!$H$54</f>
        <v>500</v>
      </c>
      <c r="M24" s="52">
        <f>$I$16+DECAISSEMENTS!$H$54</f>
        <v>500</v>
      </c>
      <c r="N24" s="52">
        <f>$I$16+DECAISSEMENTS!$H$54</f>
        <v>500</v>
      </c>
      <c r="O24" s="52">
        <f>$I$16+DECAISSEMENTS!$H$54</f>
        <v>500</v>
      </c>
      <c r="P24" s="52">
        <f>$I$16+DECAISSEMENTS!$H$54</f>
        <v>500</v>
      </c>
      <c r="Q24" s="52">
        <f>$I$16+DECAISSEMENTS!$H$54</f>
        <v>500</v>
      </c>
      <c r="R24" s="52">
        <f>$I$16+DECAISSEMENTS!$H$54</f>
        <v>500</v>
      </c>
      <c r="S24" s="52">
        <f>$I$16+DECAISSEMENTS!$H$54</f>
        <v>500</v>
      </c>
      <c r="T24" s="52">
        <f>$I$16+DECAISSEMENTS!$H$54</f>
        <v>500</v>
      </c>
      <c r="U24" s="52">
        <f>$I$16+DECAISSEMENTS!$H$54</f>
        <v>500</v>
      </c>
      <c r="V24" s="52">
        <f>$I$16+DECAISSEMENTS!$H$54</f>
        <v>500</v>
      </c>
      <c r="W24" s="52">
        <f>$I$16+DECAISSEMENTS!$H$54</f>
        <v>500</v>
      </c>
      <c r="AB24" s="100">
        <f t="shared" si="3"/>
        <v>630</v>
      </c>
      <c r="AF24" s="102">
        <f t="shared" si="5"/>
        <v>1.0000000000000002</v>
      </c>
    </row>
    <row r="25" spans="1:44" s="58" customFormat="1" ht="16.899999999999999" customHeight="1" x14ac:dyDescent="0.25">
      <c r="A25" s="161" t="s">
        <v>6</v>
      </c>
      <c r="B25" s="162"/>
      <c r="C25" s="116"/>
      <c r="D25" s="57">
        <f>D23-D24</f>
        <v>-2795</v>
      </c>
      <c r="E25" s="57">
        <f t="shared" ref="E25:I25" si="9">E23-E24</f>
        <v>-2852.375</v>
      </c>
      <c r="F25" s="57">
        <f t="shared" si="9"/>
        <v>-2911.1843749999998</v>
      </c>
      <c r="G25" s="57">
        <f t="shared" si="9"/>
        <v>-2971.4639843749997</v>
      </c>
      <c r="H25" s="57">
        <f t="shared" si="9"/>
        <v>-3033.2505839843743</v>
      </c>
      <c r="I25" s="57">
        <f t="shared" si="9"/>
        <v>-3096.5818485839836</v>
      </c>
      <c r="J25" s="57">
        <f t="shared" ref="J25" si="10">J23-J24</f>
        <v>-3161.496394798583</v>
      </c>
      <c r="K25" s="57">
        <f t="shared" ref="K25" si="11">K23-K24</f>
        <v>-3228.0338046685479</v>
      </c>
      <c r="L25" s="57">
        <f t="shared" ref="L25" si="12">L23-L24</f>
        <v>-3296.2346497852614</v>
      </c>
      <c r="M25" s="57">
        <f t="shared" ref="M25" si="13">M23-M24</f>
        <v>-3366.1405160298923</v>
      </c>
      <c r="N25" s="57">
        <f t="shared" ref="N25" si="14">N23-N24</f>
        <v>-3437.7940289306393</v>
      </c>
      <c r="O25" s="57">
        <f t="shared" ref="O25" si="15">O23-O24</f>
        <v>-3511.2388796539053</v>
      </c>
      <c r="P25" s="57">
        <f t="shared" ref="P25" si="16">P23-P24</f>
        <v>-3586.5198516452529</v>
      </c>
      <c r="Q25" s="57">
        <f t="shared" ref="Q25" si="17">Q23-Q24</f>
        <v>-3663.682847936384</v>
      </c>
      <c r="R25" s="57">
        <f t="shared" ref="R25" si="18">R23-R24</f>
        <v>-3742.7749191347934</v>
      </c>
      <c r="S25" s="57">
        <f t="shared" ref="S25" si="19">S23-S24</f>
        <v>-3823.8442921131636</v>
      </c>
      <c r="T25" s="57">
        <f t="shared" ref="T25" si="20">T23-T24</f>
        <v>-3906.9403994159925</v>
      </c>
      <c r="U25" s="57">
        <f t="shared" ref="U25" si="21">U23-U24</f>
        <v>-3992.1139094013915</v>
      </c>
      <c r="V25" s="57">
        <f t="shared" ref="V25" si="22">V23-V24</f>
        <v>-4079.4167571364264</v>
      </c>
      <c r="W25" s="57">
        <f t="shared" ref="W25" si="23">W23-W24</f>
        <v>-4168.9021760648375</v>
      </c>
      <c r="AA25" s="100"/>
      <c r="AB25" s="100">
        <f t="shared" si="3"/>
        <v>640</v>
      </c>
      <c r="AC25" s="100"/>
      <c r="AD25" s="100"/>
      <c r="AE25" s="100"/>
      <c r="AF25" s="102"/>
      <c r="AG25" s="100"/>
      <c r="AH25" s="100"/>
      <c r="AI25" s="100"/>
    </row>
    <row r="26" spans="1:44" ht="16.899999999999999" customHeight="1" x14ac:dyDescent="0.25">
      <c r="A26" s="159" t="s">
        <v>7</v>
      </c>
      <c r="B26" s="160"/>
      <c r="C26" s="114"/>
      <c r="D26" s="52">
        <f>($C$11-$M$14)/20</f>
        <v>0</v>
      </c>
      <c r="E26" s="52">
        <f t="shared" ref="E26:W26" si="24">($C$11-$M$14)/20</f>
        <v>0</v>
      </c>
      <c r="F26" s="52">
        <f t="shared" si="24"/>
        <v>0</v>
      </c>
      <c r="G26" s="52">
        <f t="shared" si="24"/>
        <v>0</v>
      </c>
      <c r="H26" s="52">
        <f t="shared" si="24"/>
        <v>0</v>
      </c>
      <c r="I26" s="52">
        <f t="shared" si="24"/>
        <v>0</v>
      </c>
      <c r="J26" s="52">
        <f t="shared" si="24"/>
        <v>0</v>
      </c>
      <c r="K26" s="52">
        <f t="shared" si="24"/>
        <v>0</v>
      </c>
      <c r="L26" s="52">
        <f t="shared" si="24"/>
        <v>0</v>
      </c>
      <c r="M26" s="52">
        <f t="shared" si="24"/>
        <v>0</v>
      </c>
      <c r="N26" s="52">
        <f t="shared" si="24"/>
        <v>0</v>
      </c>
      <c r="O26" s="52">
        <f t="shared" si="24"/>
        <v>0</v>
      </c>
      <c r="P26" s="52">
        <f t="shared" si="24"/>
        <v>0</v>
      </c>
      <c r="Q26" s="52">
        <f t="shared" si="24"/>
        <v>0</v>
      </c>
      <c r="R26" s="52">
        <f t="shared" si="24"/>
        <v>0</v>
      </c>
      <c r="S26" s="52">
        <f t="shared" si="24"/>
        <v>0</v>
      </c>
      <c r="T26" s="52">
        <f t="shared" si="24"/>
        <v>0</v>
      </c>
      <c r="U26" s="52">
        <f t="shared" si="24"/>
        <v>0</v>
      </c>
      <c r="V26" s="52">
        <f t="shared" si="24"/>
        <v>0</v>
      </c>
      <c r="W26" s="52">
        <f t="shared" si="24"/>
        <v>0</v>
      </c>
      <c r="AB26" s="100">
        <f t="shared" si="3"/>
        <v>650</v>
      </c>
      <c r="AF26" s="102"/>
    </row>
    <row r="27" spans="1:44" ht="15" x14ac:dyDescent="0.25">
      <c r="A27" s="160" t="s">
        <v>8</v>
      </c>
      <c r="B27" s="163"/>
      <c r="C27" s="115"/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AB27" s="100">
        <f t="shared" si="3"/>
        <v>660</v>
      </c>
      <c r="AF27" s="102"/>
    </row>
    <row r="28" spans="1:44" s="58" customFormat="1" ht="16.899999999999999" customHeight="1" x14ac:dyDescent="0.25">
      <c r="A28" s="161" t="s">
        <v>9</v>
      </c>
      <c r="B28" s="162"/>
      <c r="C28" s="116"/>
      <c r="D28" s="57">
        <f t="shared" ref="D28:W28" si="25">D25-D26-D27</f>
        <v>-2795</v>
      </c>
      <c r="E28" s="57">
        <f t="shared" si="25"/>
        <v>-2852.375</v>
      </c>
      <c r="F28" s="57">
        <f t="shared" si="25"/>
        <v>-2911.1843749999998</v>
      </c>
      <c r="G28" s="57">
        <f t="shared" si="25"/>
        <v>-2971.4639843749997</v>
      </c>
      <c r="H28" s="57">
        <f t="shared" si="25"/>
        <v>-3033.2505839843743</v>
      </c>
      <c r="I28" s="57">
        <f t="shared" si="25"/>
        <v>-3096.5818485839836</v>
      </c>
      <c r="J28" s="57">
        <f t="shared" si="25"/>
        <v>-3161.496394798583</v>
      </c>
      <c r="K28" s="57">
        <f t="shared" si="25"/>
        <v>-3228.0338046685479</v>
      </c>
      <c r="L28" s="57">
        <f t="shared" si="25"/>
        <v>-3296.2346497852614</v>
      </c>
      <c r="M28" s="57">
        <f t="shared" si="25"/>
        <v>-3366.1405160298923</v>
      </c>
      <c r="N28" s="57">
        <f t="shared" si="25"/>
        <v>-3437.7940289306393</v>
      </c>
      <c r="O28" s="57">
        <f t="shared" si="25"/>
        <v>-3511.2388796539053</v>
      </c>
      <c r="P28" s="57">
        <f t="shared" si="25"/>
        <v>-3586.5198516452529</v>
      </c>
      <c r="Q28" s="57">
        <f t="shared" si="25"/>
        <v>-3663.682847936384</v>
      </c>
      <c r="R28" s="57">
        <f t="shared" si="25"/>
        <v>-3742.7749191347934</v>
      </c>
      <c r="S28" s="57">
        <f t="shared" si="25"/>
        <v>-3823.8442921131636</v>
      </c>
      <c r="T28" s="57">
        <f t="shared" si="25"/>
        <v>-3906.9403994159925</v>
      </c>
      <c r="U28" s="57">
        <f t="shared" si="25"/>
        <v>-3992.1139094013915</v>
      </c>
      <c r="V28" s="57">
        <f t="shared" si="25"/>
        <v>-4079.4167571364264</v>
      </c>
      <c r="W28" s="57">
        <f t="shared" si="25"/>
        <v>-4168.9021760648375</v>
      </c>
      <c r="AA28" s="100"/>
      <c r="AB28" s="100">
        <f t="shared" si="3"/>
        <v>670</v>
      </c>
      <c r="AC28" s="100"/>
      <c r="AD28" s="100"/>
      <c r="AE28" s="100"/>
      <c r="AF28" s="102"/>
      <c r="AG28" s="100"/>
      <c r="AH28" s="100"/>
      <c r="AI28" s="100"/>
    </row>
    <row r="29" spans="1:44" ht="16.899999999999999" customHeight="1" x14ac:dyDescent="0.25">
      <c r="A29" s="168" t="s">
        <v>13</v>
      </c>
      <c r="B29" s="169"/>
      <c r="C29" s="113"/>
      <c r="D29" s="52">
        <f t="shared" ref="D29:W29" si="26">IF(D20&lt;=$M$13,-IPMT($M$12,D20,$M$13,$M$11),0)</f>
        <v>0</v>
      </c>
      <c r="E29" s="52">
        <f t="shared" si="26"/>
        <v>0</v>
      </c>
      <c r="F29" s="52">
        <f t="shared" si="26"/>
        <v>0</v>
      </c>
      <c r="G29" s="52">
        <f t="shared" si="26"/>
        <v>0</v>
      </c>
      <c r="H29" s="52">
        <f t="shared" si="26"/>
        <v>0</v>
      </c>
      <c r="I29" s="52">
        <f t="shared" si="26"/>
        <v>0</v>
      </c>
      <c r="J29" s="52">
        <f t="shared" si="26"/>
        <v>0</v>
      </c>
      <c r="K29" s="52">
        <f t="shared" si="26"/>
        <v>0</v>
      </c>
      <c r="L29" s="52">
        <f t="shared" si="26"/>
        <v>0</v>
      </c>
      <c r="M29" s="52">
        <f t="shared" si="26"/>
        <v>0</v>
      </c>
      <c r="N29" s="52">
        <f t="shared" si="26"/>
        <v>0</v>
      </c>
      <c r="O29" s="52">
        <f t="shared" si="26"/>
        <v>0</v>
      </c>
      <c r="P29" s="52">
        <f t="shared" si="26"/>
        <v>0</v>
      </c>
      <c r="Q29" s="52">
        <f t="shared" si="26"/>
        <v>0</v>
      </c>
      <c r="R29" s="52">
        <f t="shared" si="26"/>
        <v>0</v>
      </c>
      <c r="S29" s="52">
        <f t="shared" si="26"/>
        <v>0</v>
      </c>
      <c r="T29" s="52">
        <f t="shared" si="26"/>
        <v>0</v>
      </c>
      <c r="U29" s="52">
        <f t="shared" si="26"/>
        <v>0</v>
      </c>
      <c r="V29" s="52">
        <f t="shared" si="26"/>
        <v>0</v>
      </c>
      <c r="W29" s="52">
        <f t="shared" si="26"/>
        <v>0</v>
      </c>
      <c r="AB29" s="100">
        <f t="shared" si="3"/>
        <v>680</v>
      </c>
      <c r="AF29" s="102"/>
    </row>
    <row r="30" spans="1:44" ht="15" x14ac:dyDescent="0.25">
      <c r="A30" s="159" t="s">
        <v>63</v>
      </c>
      <c r="B30" s="160"/>
      <c r="C30" s="114"/>
      <c r="D30" s="52">
        <f t="shared" ref="D30:W30" si="27">IF(D20&lt;=$Q$10,$Q$9*$Q$8,0)</f>
        <v>0</v>
      </c>
      <c r="E30" s="52">
        <f t="shared" si="27"/>
        <v>0</v>
      </c>
      <c r="F30" s="52">
        <f t="shared" si="27"/>
        <v>0</v>
      </c>
      <c r="G30" s="52">
        <f t="shared" si="27"/>
        <v>0</v>
      </c>
      <c r="H30" s="52">
        <f t="shared" si="27"/>
        <v>0</v>
      </c>
      <c r="I30" s="52">
        <f t="shared" si="27"/>
        <v>0</v>
      </c>
      <c r="J30" s="52">
        <f t="shared" si="27"/>
        <v>0</v>
      </c>
      <c r="K30" s="52">
        <f t="shared" si="27"/>
        <v>0</v>
      </c>
      <c r="L30" s="52">
        <f t="shared" si="27"/>
        <v>0</v>
      </c>
      <c r="M30" s="52">
        <f t="shared" si="27"/>
        <v>0</v>
      </c>
      <c r="N30" s="52">
        <f t="shared" si="27"/>
        <v>0</v>
      </c>
      <c r="O30" s="52">
        <f t="shared" si="27"/>
        <v>0</v>
      </c>
      <c r="P30" s="52">
        <f t="shared" si="27"/>
        <v>0</v>
      </c>
      <c r="Q30" s="52">
        <f t="shared" si="27"/>
        <v>0</v>
      </c>
      <c r="R30" s="52">
        <f t="shared" si="27"/>
        <v>0</v>
      </c>
      <c r="S30" s="52">
        <f t="shared" si="27"/>
        <v>0</v>
      </c>
      <c r="T30" s="52">
        <f t="shared" si="27"/>
        <v>0</v>
      </c>
      <c r="U30" s="52">
        <f t="shared" si="27"/>
        <v>0</v>
      </c>
      <c r="V30" s="52">
        <f t="shared" si="27"/>
        <v>0</v>
      </c>
      <c r="W30" s="52">
        <f t="shared" si="27"/>
        <v>0</v>
      </c>
      <c r="AB30" s="100">
        <f t="shared" si="3"/>
        <v>690</v>
      </c>
      <c r="AF30" s="102"/>
    </row>
    <row r="31" spans="1:44" s="58" customFormat="1" ht="16.899999999999999" customHeight="1" x14ac:dyDescent="0.25">
      <c r="A31" s="161" t="s">
        <v>10</v>
      </c>
      <c r="B31" s="162"/>
      <c r="C31" s="116"/>
      <c r="D31" s="57">
        <f t="shared" ref="D31:W31" si="28">D28-D29-D30</f>
        <v>-2795</v>
      </c>
      <c r="E31" s="57">
        <f t="shared" si="28"/>
        <v>-2852.375</v>
      </c>
      <c r="F31" s="57">
        <f t="shared" si="28"/>
        <v>-2911.1843749999998</v>
      </c>
      <c r="G31" s="57">
        <f t="shared" si="28"/>
        <v>-2971.4639843749997</v>
      </c>
      <c r="H31" s="57">
        <f t="shared" si="28"/>
        <v>-3033.2505839843743</v>
      </c>
      <c r="I31" s="57">
        <f t="shared" si="28"/>
        <v>-3096.5818485839836</v>
      </c>
      <c r="J31" s="57">
        <f t="shared" si="28"/>
        <v>-3161.496394798583</v>
      </c>
      <c r="K31" s="57">
        <f t="shared" si="28"/>
        <v>-3228.0338046685479</v>
      </c>
      <c r="L31" s="57">
        <f t="shared" si="28"/>
        <v>-3296.2346497852614</v>
      </c>
      <c r="M31" s="57">
        <f t="shared" si="28"/>
        <v>-3366.1405160298923</v>
      </c>
      <c r="N31" s="57">
        <f t="shared" si="28"/>
        <v>-3437.7940289306393</v>
      </c>
      <c r="O31" s="57">
        <f t="shared" si="28"/>
        <v>-3511.2388796539053</v>
      </c>
      <c r="P31" s="57">
        <f t="shared" si="28"/>
        <v>-3586.5198516452529</v>
      </c>
      <c r="Q31" s="57">
        <f t="shared" si="28"/>
        <v>-3663.682847936384</v>
      </c>
      <c r="R31" s="57">
        <f t="shared" si="28"/>
        <v>-3742.7749191347934</v>
      </c>
      <c r="S31" s="57">
        <f t="shared" si="28"/>
        <v>-3823.8442921131636</v>
      </c>
      <c r="T31" s="57">
        <f t="shared" si="28"/>
        <v>-3906.9403994159925</v>
      </c>
      <c r="U31" s="57">
        <f t="shared" si="28"/>
        <v>-3992.1139094013915</v>
      </c>
      <c r="V31" s="57">
        <f t="shared" si="28"/>
        <v>-4079.4167571364264</v>
      </c>
      <c r="W31" s="57">
        <f t="shared" si="28"/>
        <v>-4168.9021760648375</v>
      </c>
      <c r="AA31" s="100"/>
      <c r="AB31" s="100">
        <f t="shared" si="3"/>
        <v>700</v>
      </c>
      <c r="AC31" s="100"/>
      <c r="AD31" s="100"/>
      <c r="AE31" s="100"/>
      <c r="AF31" s="102"/>
      <c r="AG31" s="100"/>
      <c r="AH31" s="100"/>
      <c r="AI31" s="100"/>
    </row>
    <row r="32" spans="1:44" ht="15" x14ac:dyDescent="0.25">
      <c r="A32" s="159" t="s">
        <v>47</v>
      </c>
      <c r="B32" s="160"/>
      <c r="C32" s="114"/>
      <c r="D32" s="52">
        <f>IF(D31&lt;0,D31,0)</f>
        <v>-2795</v>
      </c>
      <c r="E32" s="52">
        <f>IF(D32+E31&lt;0,D32+E31,0)</f>
        <v>-5647.375</v>
      </c>
      <c r="F32" s="52">
        <f>IF(E32+F31&lt;0,E32+F31,0)</f>
        <v>-8558.5593750000007</v>
      </c>
      <c r="G32" s="52">
        <f>IF(F32+G31&lt;0,F32+G31,0)</f>
        <v>-11530.023359375</v>
      </c>
      <c r="H32" s="52">
        <f t="shared" ref="H32" si="29">IF(G32+H31&lt;0,G32+H31,0)</f>
        <v>-14563.273943359374</v>
      </c>
      <c r="I32" s="52">
        <f t="shared" ref="I32" si="30">IF(H32+I31&lt;0,H32+I31,0)</f>
        <v>-17659.855791943359</v>
      </c>
      <c r="J32" s="52">
        <f t="shared" ref="J32:K32" si="31">IF(I32+J31&lt;0,I32+J31,0)</f>
        <v>-20821.35218674194</v>
      </c>
      <c r="K32" s="52">
        <f t="shared" si="31"/>
        <v>-24049.385991410487</v>
      </c>
      <c r="L32" s="52">
        <f t="shared" ref="L32" si="32">IF(K32+L31&lt;0,K32+L31,0)</f>
        <v>-27345.620641195746</v>
      </c>
      <c r="M32" s="52">
        <f t="shared" ref="M32:N32" si="33">IF(L32+M31&lt;0,L32+M31,0)</f>
        <v>-30711.761157225639</v>
      </c>
      <c r="N32" s="52">
        <f t="shared" si="33"/>
        <v>-34149.555186156278</v>
      </c>
      <c r="O32" s="52">
        <f t="shared" ref="O32" si="34">IF(N32+O31&lt;0,N32+O31,0)</f>
        <v>-37660.794065810187</v>
      </c>
      <c r="P32" s="52">
        <f t="shared" ref="P32:Q32" si="35">IF(O32+P31&lt;0,O32+P31,0)</f>
        <v>-41247.313917455438</v>
      </c>
      <c r="Q32" s="52">
        <f t="shared" si="35"/>
        <v>-44910.996765391821</v>
      </c>
      <c r="R32" s="52">
        <f t="shared" ref="R32" si="36">IF(Q32+R31&lt;0,Q32+R31,0)</f>
        <v>-48653.771684526611</v>
      </c>
      <c r="S32" s="52">
        <f t="shared" ref="S32:T32" si="37">IF(R32+S31&lt;0,R32+S31,0)</f>
        <v>-52477.615976639776</v>
      </c>
      <c r="T32" s="52">
        <f t="shared" si="37"/>
        <v>-56384.556376055771</v>
      </c>
      <c r="U32" s="52">
        <f t="shared" ref="U32" si="38">IF(T32+U31&lt;0,T32+U31,0)</f>
        <v>-60376.670285457163</v>
      </c>
      <c r="V32" s="52">
        <f t="shared" ref="V32:W32" si="39">IF(U32+V31&lt;0,U32+V31,0)</f>
        <v>-64456.087042593586</v>
      </c>
      <c r="W32" s="52">
        <f t="shared" si="39"/>
        <v>-68624.989218658418</v>
      </c>
      <c r="AB32" s="100">
        <f t="shared" si="3"/>
        <v>710</v>
      </c>
      <c r="AF32" s="102"/>
    </row>
    <row r="33" spans="1:35" ht="15" x14ac:dyDescent="0.25">
      <c r="A33" s="159" t="s">
        <v>80</v>
      </c>
      <c r="B33" s="160"/>
      <c r="C33" s="114"/>
      <c r="D33" s="52">
        <f>IF(D31&lt;0,0,IF(D31&lt;38120,IF(B4="SAS",0.15*D31,0.15*D31*(1-I11)),IF(B4="SAS",0.28*D31,0.28*D31*(1-I11))))</f>
        <v>0</v>
      </c>
      <c r="E33" s="52">
        <f>IF((E31+D32)&lt;0,0,IF(E31&lt;38120,IF($B$4="SAS",0.15*(E31+D32),0.15*(E31+D32)*(1-$I$11)),IF($B$4="SAS",0.28*(E31+D32),0.28*(1-$I$11)*(E31+D32))))</f>
        <v>0</v>
      </c>
      <c r="F33" s="52">
        <f>IF((F31+E32)&lt;0,0,IF(F31&lt;38120,IF($B$4="SAS",0.15*(F31+E32),0.15*(F31+E32)*(1-$I$11)),IF($B$4="SAS",0.28*(F31+E32),0.28*(1-$I$11)*(F31+E32))))</f>
        <v>0</v>
      </c>
      <c r="G33" s="52">
        <f>IF((G31+F32)&lt;0,0,IF(G31&lt;38120,IF($B$4="SAS",0.15*(G31+F32),0.15*(G31+F32)*(1-$I$12)),IF($B$4="SAS",0.28*(G31+F32),0.28*(1-$I$12)*(G31+F32))))</f>
        <v>0</v>
      </c>
      <c r="H33" s="52">
        <f t="shared" ref="H33:W33" si="40">IF((H31+G32)&lt;0,0,IF(H31&lt;38120,IF($B$4="SAS",0.15*(H31+G32),0.15*(H31+G32)*(1-$I$12)),IF($B$4="SAS",0.28*(H31+G32),0.28*(1-$I$12)*(H31+G32))))</f>
        <v>0</v>
      </c>
      <c r="I33" s="52">
        <f t="shared" si="40"/>
        <v>0</v>
      </c>
      <c r="J33" s="52">
        <f t="shared" si="40"/>
        <v>0</v>
      </c>
      <c r="K33" s="52">
        <f t="shared" si="40"/>
        <v>0</v>
      </c>
      <c r="L33" s="52">
        <f t="shared" si="40"/>
        <v>0</v>
      </c>
      <c r="M33" s="52">
        <f t="shared" si="40"/>
        <v>0</v>
      </c>
      <c r="N33" s="52">
        <f t="shared" si="40"/>
        <v>0</v>
      </c>
      <c r="O33" s="52">
        <f t="shared" si="40"/>
        <v>0</v>
      </c>
      <c r="P33" s="52">
        <f t="shared" si="40"/>
        <v>0</v>
      </c>
      <c r="Q33" s="52">
        <f t="shared" si="40"/>
        <v>0</v>
      </c>
      <c r="R33" s="52">
        <f t="shared" si="40"/>
        <v>0</v>
      </c>
      <c r="S33" s="52">
        <f t="shared" si="40"/>
        <v>0</v>
      </c>
      <c r="T33" s="52">
        <f t="shared" si="40"/>
        <v>0</v>
      </c>
      <c r="U33" s="52">
        <f t="shared" si="40"/>
        <v>0</v>
      </c>
      <c r="V33" s="52">
        <f t="shared" si="40"/>
        <v>0</v>
      </c>
      <c r="W33" s="52">
        <f t="shared" si="40"/>
        <v>0</v>
      </c>
      <c r="AB33" s="100">
        <f t="shared" si="3"/>
        <v>720</v>
      </c>
      <c r="AF33" s="102"/>
    </row>
    <row r="34" spans="1:35" s="58" customFormat="1" ht="16.899999999999999" customHeight="1" x14ac:dyDescent="0.25">
      <c r="A34" s="161" t="s">
        <v>11</v>
      </c>
      <c r="B34" s="162"/>
      <c r="C34" s="116"/>
      <c r="D34" s="57">
        <f>D31-D33</f>
        <v>-2795</v>
      </c>
      <c r="E34" s="57">
        <f t="shared" ref="E34:W34" si="41">E31-E33</f>
        <v>-2852.375</v>
      </c>
      <c r="F34" s="57">
        <f t="shared" si="41"/>
        <v>-2911.1843749999998</v>
      </c>
      <c r="G34" s="57">
        <f t="shared" si="41"/>
        <v>-2971.4639843749997</v>
      </c>
      <c r="H34" s="57">
        <f t="shared" si="41"/>
        <v>-3033.2505839843743</v>
      </c>
      <c r="I34" s="57">
        <f t="shared" si="41"/>
        <v>-3096.5818485839836</v>
      </c>
      <c r="J34" s="57">
        <f t="shared" si="41"/>
        <v>-3161.496394798583</v>
      </c>
      <c r="K34" s="57">
        <f t="shared" si="41"/>
        <v>-3228.0338046685479</v>
      </c>
      <c r="L34" s="57">
        <f t="shared" si="41"/>
        <v>-3296.2346497852614</v>
      </c>
      <c r="M34" s="57">
        <f t="shared" si="41"/>
        <v>-3366.1405160298923</v>
      </c>
      <c r="N34" s="57">
        <f t="shared" si="41"/>
        <v>-3437.7940289306393</v>
      </c>
      <c r="O34" s="57">
        <f t="shared" si="41"/>
        <v>-3511.2388796539053</v>
      </c>
      <c r="P34" s="57">
        <f t="shared" si="41"/>
        <v>-3586.5198516452529</v>
      </c>
      <c r="Q34" s="57">
        <f t="shared" si="41"/>
        <v>-3663.682847936384</v>
      </c>
      <c r="R34" s="57">
        <f t="shared" si="41"/>
        <v>-3742.7749191347934</v>
      </c>
      <c r="S34" s="57">
        <f t="shared" si="41"/>
        <v>-3823.8442921131636</v>
      </c>
      <c r="T34" s="57">
        <f t="shared" si="41"/>
        <v>-3906.9403994159925</v>
      </c>
      <c r="U34" s="57">
        <f t="shared" si="41"/>
        <v>-3992.1139094013915</v>
      </c>
      <c r="V34" s="57">
        <f t="shared" si="41"/>
        <v>-4079.4167571364264</v>
      </c>
      <c r="W34" s="57">
        <f t="shared" si="41"/>
        <v>-4168.9021760648375</v>
      </c>
      <c r="AA34" s="100"/>
      <c r="AB34" s="100">
        <f t="shared" si="3"/>
        <v>730</v>
      </c>
      <c r="AC34" s="100"/>
      <c r="AD34" s="100"/>
      <c r="AE34" s="100"/>
      <c r="AF34" s="102"/>
      <c r="AG34" s="100"/>
      <c r="AH34" s="100"/>
      <c r="AI34" s="100"/>
    </row>
    <row r="35" spans="1:35" s="61" customFormat="1" ht="16.899999999999999" customHeight="1" x14ac:dyDescent="0.25">
      <c r="A35" s="59"/>
      <c r="B35" s="59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AA35" s="100"/>
      <c r="AB35" s="100">
        <f t="shared" si="3"/>
        <v>740</v>
      </c>
      <c r="AC35" s="100"/>
      <c r="AD35" s="100"/>
      <c r="AE35" s="100"/>
      <c r="AF35" s="100"/>
      <c r="AG35" s="100"/>
      <c r="AH35" s="100"/>
      <c r="AI35" s="100"/>
    </row>
    <row r="36" spans="1:35" ht="16.899999999999999" customHeight="1" x14ac:dyDescent="0.25">
      <c r="A36" s="159" t="s">
        <v>32</v>
      </c>
      <c r="B36" s="160"/>
      <c r="C36" s="114"/>
      <c r="D36" s="52">
        <f t="shared" ref="D36:W36" si="42">D34+D27+D26</f>
        <v>-2795</v>
      </c>
      <c r="E36" s="52">
        <f t="shared" si="42"/>
        <v>-2852.375</v>
      </c>
      <c r="F36" s="52">
        <f t="shared" si="42"/>
        <v>-2911.1843749999998</v>
      </c>
      <c r="G36" s="52">
        <f t="shared" si="42"/>
        <v>-2971.4639843749997</v>
      </c>
      <c r="H36" s="52">
        <f t="shared" si="42"/>
        <v>-3033.2505839843743</v>
      </c>
      <c r="I36" s="52">
        <f t="shared" si="42"/>
        <v>-3096.5818485839836</v>
      </c>
      <c r="J36" s="52">
        <f t="shared" si="42"/>
        <v>-3161.496394798583</v>
      </c>
      <c r="K36" s="52">
        <f t="shared" si="42"/>
        <v>-3228.0338046685479</v>
      </c>
      <c r="L36" s="52">
        <f t="shared" si="42"/>
        <v>-3296.2346497852614</v>
      </c>
      <c r="M36" s="52">
        <f t="shared" si="42"/>
        <v>-3366.1405160298923</v>
      </c>
      <c r="N36" s="52">
        <f t="shared" si="42"/>
        <v>-3437.7940289306393</v>
      </c>
      <c r="O36" s="52">
        <f t="shared" si="42"/>
        <v>-3511.2388796539053</v>
      </c>
      <c r="P36" s="52">
        <f t="shared" si="42"/>
        <v>-3586.5198516452529</v>
      </c>
      <c r="Q36" s="52">
        <f t="shared" si="42"/>
        <v>-3663.682847936384</v>
      </c>
      <c r="R36" s="52">
        <f t="shared" si="42"/>
        <v>-3742.7749191347934</v>
      </c>
      <c r="S36" s="52">
        <f t="shared" si="42"/>
        <v>-3823.8442921131636</v>
      </c>
      <c r="T36" s="52">
        <f t="shared" si="42"/>
        <v>-3906.9403994159925</v>
      </c>
      <c r="U36" s="52">
        <f t="shared" si="42"/>
        <v>-3992.1139094013915</v>
      </c>
      <c r="V36" s="52">
        <f t="shared" si="42"/>
        <v>-4079.4167571364264</v>
      </c>
      <c r="W36" s="52">
        <f t="shared" si="42"/>
        <v>-4168.9021760648375</v>
      </c>
      <c r="AB36" s="100">
        <f t="shared" si="3"/>
        <v>750</v>
      </c>
      <c r="AF36" s="102"/>
    </row>
    <row r="37" spans="1:35" ht="15" x14ac:dyDescent="0.25">
      <c r="A37" s="160" t="s">
        <v>21</v>
      </c>
      <c r="B37" s="163"/>
      <c r="C37" s="120">
        <f>-C11+M14</f>
        <v>0</v>
      </c>
      <c r="D37" s="52">
        <f>D36+D30+D29</f>
        <v>-2795</v>
      </c>
      <c r="E37" s="52">
        <f>E36+E30+E29</f>
        <v>-2852.375</v>
      </c>
      <c r="F37" s="52">
        <f t="shared" ref="F37:W37" si="43">F36+F30+F29</f>
        <v>-2911.1843749999998</v>
      </c>
      <c r="G37" s="52">
        <f t="shared" si="43"/>
        <v>-2971.4639843749997</v>
      </c>
      <c r="H37" s="52">
        <f t="shared" si="43"/>
        <v>-3033.2505839843743</v>
      </c>
      <c r="I37" s="52">
        <f t="shared" si="43"/>
        <v>-3096.5818485839836</v>
      </c>
      <c r="J37" s="52">
        <f t="shared" si="43"/>
        <v>-3161.496394798583</v>
      </c>
      <c r="K37" s="52">
        <f t="shared" si="43"/>
        <v>-3228.0338046685479</v>
      </c>
      <c r="L37" s="52">
        <f t="shared" si="43"/>
        <v>-3296.2346497852614</v>
      </c>
      <c r="M37" s="52">
        <f t="shared" si="43"/>
        <v>-3366.1405160298923</v>
      </c>
      <c r="N37" s="52">
        <f t="shared" si="43"/>
        <v>-3437.7940289306393</v>
      </c>
      <c r="O37" s="52">
        <f t="shared" si="43"/>
        <v>-3511.2388796539053</v>
      </c>
      <c r="P37" s="52">
        <f t="shared" si="43"/>
        <v>-3586.5198516452529</v>
      </c>
      <c r="Q37" s="52">
        <f t="shared" si="43"/>
        <v>-3663.682847936384</v>
      </c>
      <c r="R37" s="52">
        <f t="shared" si="43"/>
        <v>-3742.7749191347934</v>
      </c>
      <c r="S37" s="52">
        <f t="shared" si="43"/>
        <v>-3823.8442921131636</v>
      </c>
      <c r="T37" s="52">
        <f t="shared" si="43"/>
        <v>-3906.9403994159925</v>
      </c>
      <c r="U37" s="52">
        <f t="shared" si="43"/>
        <v>-3992.1139094013915</v>
      </c>
      <c r="V37" s="52">
        <f t="shared" si="43"/>
        <v>-4079.4167571364264</v>
      </c>
      <c r="W37" s="52">
        <f t="shared" si="43"/>
        <v>-4168.9021760648375</v>
      </c>
      <c r="AB37" s="100">
        <f t="shared" si="3"/>
        <v>760</v>
      </c>
      <c r="AF37" s="102"/>
    </row>
    <row r="38" spans="1:35" ht="15" x14ac:dyDescent="0.25">
      <c r="A38" s="164" t="s">
        <v>143</v>
      </c>
      <c r="B38" s="164"/>
      <c r="C38" s="121">
        <f>-M8-Q8</f>
        <v>0</v>
      </c>
      <c r="D38" s="52">
        <f>D36</f>
        <v>-2795</v>
      </c>
      <c r="E38" s="52">
        <f t="shared" ref="E38:W38" si="44">E36</f>
        <v>-2852.375</v>
      </c>
      <c r="F38" s="52">
        <f t="shared" si="44"/>
        <v>-2911.1843749999998</v>
      </c>
      <c r="G38" s="52">
        <f t="shared" si="44"/>
        <v>-2971.4639843749997</v>
      </c>
      <c r="H38" s="52">
        <f t="shared" si="44"/>
        <v>-3033.2505839843743</v>
      </c>
      <c r="I38" s="52">
        <f t="shared" si="44"/>
        <v>-3096.5818485839836</v>
      </c>
      <c r="J38" s="52">
        <f t="shared" si="44"/>
        <v>-3161.496394798583</v>
      </c>
      <c r="K38" s="52">
        <f t="shared" si="44"/>
        <v>-3228.0338046685479</v>
      </c>
      <c r="L38" s="52">
        <f t="shared" si="44"/>
        <v>-3296.2346497852614</v>
      </c>
      <c r="M38" s="52">
        <f t="shared" si="44"/>
        <v>-3366.1405160298923</v>
      </c>
      <c r="N38" s="52">
        <f t="shared" si="44"/>
        <v>-3437.7940289306393</v>
      </c>
      <c r="O38" s="52">
        <f t="shared" si="44"/>
        <v>-3511.2388796539053</v>
      </c>
      <c r="P38" s="52">
        <f t="shared" si="44"/>
        <v>-3586.5198516452529</v>
      </c>
      <c r="Q38" s="52">
        <f t="shared" si="44"/>
        <v>-3663.682847936384</v>
      </c>
      <c r="R38" s="52">
        <f t="shared" si="44"/>
        <v>-3742.7749191347934</v>
      </c>
      <c r="S38" s="52">
        <f t="shared" si="44"/>
        <v>-3823.8442921131636</v>
      </c>
      <c r="T38" s="52">
        <f t="shared" si="44"/>
        <v>-3906.9403994159925</v>
      </c>
      <c r="U38" s="52">
        <f t="shared" si="44"/>
        <v>-3992.1139094013915</v>
      </c>
      <c r="V38" s="52">
        <f t="shared" si="44"/>
        <v>-4079.4167571364264</v>
      </c>
      <c r="W38" s="52">
        <f t="shared" si="44"/>
        <v>-4168.9021760648375</v>
      </c>
      <c r="AB38" s="100">
        <f t="shared" si="3"/>
        <v>770</v>
      </c>
      <c r="AF38" s="102"/>
    </row>
    <row r="39" spans="1:35" ht="16.899999999999999" customHeight="1" x14ac:dyDescent="0.25">
      <c r="A39" s="159" t="s">
        <v>15</v>
      </c>
      <c r="B39" s="160"/>
      <c r="C39" s="114"/>
      <c r="D39" s="52" t="e">
        <f t="shared" ref="D39:W39" si="45">D36*(1+taux_actu)^-(D20-1)</f>
        <v>#DIV/0!</v>
      </c>
      <c r="E39" s="52" t="e">
        <f t="shared" si="45"/>
        <v>#DIV/0!</v>
      </c>
      <c r="F39" s="52" t="e">
        <f t="shared" si="45"/>
        <v>#DIV/0!</v>
      </c>
      <c r="G39" s="52" t="e">
        <f t="shared" si="45"/>
        <v>#DIV/0!</v>
      </c>
      <c r="H39" s="52" t="e">
        <f t="shared" si="45"/>
        <v>#DIV/0!</v>
      </c>
      <c r="I39" s="52" t="e">
        <f t="shared" si="45"/>
        <v>#DIV/0!</v>
      </c>
      <c r="J39" s="52" t="e">
        <f t="shared" si="45"/>
        <v>#DIV/0!</v>
      </c>
      <c r="K39" s="52" t="e">
        <f t="shared" si="45"/>
        <v>#DIV/0!</v>
      </c>
      <c r="L39" s="52" t="e">
        <f t="shared" si="45"/>
        <v>#DIV/0!</v>
      </c>
      <c r="M39" s="52" t="e">
        <f t="shared" si="45"/>
        <v>#DIV/0!</v>
      </c>
      <c r="N39" s="52" t="e">
        <f t="shared" si="45"/>
        <v>#DIV/0!</v>
      </c>
      <c r="O39" s="52" t="e">
        <f t="shared" si="45"/>
        <v>#DIV/0!</v>
      </c>
      <c r="P39" s="52" t="e">
        <f t="shared" si="45"/>
        <v>#DIV/0!</v>
      </c>
      <c r="Q39" s="52" t="e">
        <f t="shared" si="45"/>
        <v>#DIV/0!</v>
      </c>
      <c r="R39" s="52" t="e">
        <f t="shared" si="45"/>
        <v>#DIV/0!</v>
      </c>
      <c r="S39" s="52" t="e">
        <f t="shared" si="45"/>
        <v>#DIV/0!</v>
      </c>
      <c r="T39" s="52" t="e">
        <f t="shared" si="45"/>
        <v>#DIV/0!</v>
      </c>
      <c r="U39" s="52" t="e">
        <f t="shared" si="45"/>
        <v>#DIV/0!</v>
      </c>
      <c r="V39" s="52" t="e">
        <f t="shared" si="45"/>
        <v>#DIV/0!</v>
      </c>
      <c r="W39" s="52" t="e">
        <f t="shared" si="45"/>
        <v>#DIV/0!</v>
      </c>
      <c r="AB39" s="100">
        <f t="shared" si="3"/>
        <v>780</v>
      </c>
      <c r="AF39" s="102"/>
    </row>
    <row r="40" spans="1:35" s="58" customFormat="1" ht="16.899999999999999" customHeight="1" x14ac:dyDescent="0.25">
      <c r="A40" s="161" t="s">
        <v>16</v>
      </c>
      <c r="B40" s="162"/>
      <c r="C40" s="122">
        <f>-C11+M14</f>
        <v>0</v>
      </c>
      <c r="D40" s="57" t="e">
        <f>D39+C40</f>
        <v>#DIV/0!</v>
      </c>
      <c r="E40" s="57" t="e">
        <f>D40+E39</f>
        <v>#DIV/0!</v>
      </c>
      <c r="F40" s="57" t="e">
        <f t="shared" ref="F40:V40" si="46">E40+F39</f>
        <v>#DIV/0!</v>
      </c>
      <c r="G40" s="57" t="e">
        <f t="shared" si="46"/>
        <v>#DIV/0!</v>
      </c>
      <c r="H40" s="57" t="e">
        <f t="shared" si="46"/>
        <v>#DIV/0!</v>
      </c>
      <c r="I40" s="57" t="e">
        <f t="shared" si="46"/>
        <v>#DIV/0!</v>
      </c>
      <c r="J40" s="57" t="e">
        <f t="shared" si="46"/>
        <v>#DIV/0!</v>
      </c>
      <c r="K40" s="57" t="e">
        <f t="shared" si="46"/>
        <v>#DIV/0!</v>
      </c>
      <c r="L40" s="57" t="e">
        <f t="shared" si="46"/>
        <v>#DIV/0!</v>
      </c>
      <c r="M40" s="57" t="e">
        <f t="shared" si="46"/>
        <v>#DIV/0!</v>
      </c>
      <c r="N40" s="57" t="e">
        <f t="shared" si="46"/>
        <v>#DIV/0!</v>
      </c>
      <c r="O40" s="57" t="e">
        <f t="shared" si="46"/>
        <v>#DIV/0!</v>
      </c>
      <c r="P40" s="57" t="e">
        <f t="shared" si="46"/>
        <v>#DIV/0!</v>
      </c>
      <c r="Q40" s="57" t="e">
        <f t="shared" si="46"/>
        <v>#DIV/0!</v>
      </c>
      <c r="R40" s="57" t="e">
        <f t="shared" si="46"/>
        <v>#DIV/0!</v>
      </c>
      <c r="S40" s="57" t="e">
        <f t="shared" si="46"/>
        <v>#DIV/0!</v>
      </c>
      <c r="T40" s="57" t="e">
        <f t="shared" si="46"/>
        <v>#DIV/0!</v>
      </c>
      <c r="U40" s="57" t="e">
        <f t="shared" si="46"/>
        <v>#DIV/0!</v>
      </c>
      <c r="V40" s="57" t="e">
        <f t="shared" si="46"/>
        <v>#DIV/0!</v>
      </c>
      <c r="W40" s="57" t="e">
        <f>V40+W39</f>
        <v>#DIV/0!</v>
      </c>
      <c r="AA40" s="100"/>
      <c r="AB40" s="100">
        <f t="shared" si="3"/>
        <v>790</v>
      </c>
      <c r="AC40" s="100"/>
      <c r="AD40" s="100"/>
      <c r="AE40" s="100"/>
      <c r="AF40" s="102"/>
      <c r="AG40" s="100"/>
      <c r="AH40" s="100"/>
      <c r="AI40" s="100"/>
    </row>
    <row r="41" spans="1:35" ht="16.899999999999999" customHeight="1" x14ac:dyDescent="0.25">
      <c r="AB41" s="100">
        <f t="shared" si="3"/>
        <v>800</v>
      </c>
    </row>
    <row r="42" spans="1:35" ht="15" x14ac:dyDescent="0.25">
      <c r="A42" s="159" t="s">
        <v>33</v>
      </c>
      <c r="B42" s="160"/>
      <c r="C42" s="114"/>
      <c r="D42" s="52">
        <f>IF(D20&lt;4,IF(D34&lt;0,0,$I$11*D34),$I$12*D34)</f>
        <v>0</v>
      </c>
      <c r="E42" s="52">
        <f>IF(E20&lt;4,IF(E34&lt;0,0,$I$11*E34),$I$12*E34)</f>
        <v>0</v>
      </c>
      <c r="F42" s="52">
        <f t="shared" ref="E42:W42" si="47">IF(F20&lt;4,IF(F34&lt;0,0,$I$11*F34),$I$12*F34)</f>
        <v>0</v>
      </c>
      <c r="G42" s="52">
        <f>IF(G20&lt;4,IF(G34&lt;0,0,$I$11*G34),$I$12*G34)</f>
        <v>-891.43919531249992</v>
      </c>
      <c r="H42" s="52">
        <f t="shared" si="47"/>
        <v>-909.97517519531232</v>
      </c>
      <c r="I42" s="52">
        <f t="shared" si="47"/>
        <v>-928.97455457519504</v>
      </c>
      <c r="J42" s="52">
        <f>IF(J20&lt;4,IF(J34&lt;0,0,$I$11*J34),$I$12*J34)</f>
        <v>-948.44891843957487</v>
      </c>
      <c r="K42" s="52">
        <f t="shared" si="47"/>
        <v>-968.41014140056427</v>
      </c>
      <c r="L42" s="52">
        <f t="shared" si="47"/>
        <v>-988.87039493557836</v>
      </c>
      <c r="M42" s="52">
        <f t="shared" si="47"/>
        <v>-1009.8421548089676</v>
      </c>
      <c r="N42" s="52">
        <f t="shared" si="47"/>
        <v>-1031.3382086791917</v>
      </c>
      <c r="O42" s="52">
        <f t="shared" si="47"/>
        <v>-1053.3716638961716</v>
      </c>
      <c r="P42" s="52">
        <f t="shared" si="47"/>
        <v>-1075.9559554935759</v>
      </c>
      <c r="Q42" s="52">
        <f t="shared" si="47"/>
        <v>-1099.1048543809152</v>
      </c>
      <c r="R42" s="52">
        <f t="shared" si="47"/>
        <v>-1122.832475740438</v>
      </c>
      <c r="S42" s="52">
        <f t="shared" si="47"/>
        <v>-1147.153287633949</v>
      </c>
      <c r="T42" s="52">
        <f t="shared" si="47"/>
        <v>-1172.0821198247977</v>
      </c>
      <c r="U42" s="52">
        <f t="shared" si="47"/>
        <v>-1197.6341728204175</v>
      </c>
      <c r="V42" s="52">
        <f t="shared" si="47"/>
        <v>-1223.8250271409279</v>
      </c>
      <c r="W42" s="52">
        <f t="shared" si="47"/>
        <v>-1250.6706528194511</v>
      </c>
      <c r="AB42" s="100">
        <f t="shared" si="3"/>
        <v>810</v>
      </c>
      <c r="AF42" s="102"/>
    </row>
    <row r="43" spans="1:35" ht="15" x14ac:dyDescent="0.25">
      <c r="A43" s="159" t="s">
        <v>48</v>
      </c>
      <c r="B43" s="160"/>
      <c r="C43" s="114"/>
      <c r="D43" s="52">
        <f t="shared" ref="D43:W43" si="48">IF(D20&lt;4,0,D34-D42)</f>
        <v>0</v>
      </c>
      <c r="E43" s="52">
        <f t="shared" si="48"/>
        <v>0</v>
      </c>
      <c r="F43" s="52">
        <f t="shared" si="48"/>
        <v>0</v>
      </c>
      <c r="G43" s="52">
        <f t="shared" si="48"/>
        <v>-2080.0247890624996</v>
      </c>
      <c r="H43" s="52">
        <f t="shared" si="48"/>
        <v>-2123.2754087890621</v>
      </c>
      <c r="I43" s="52">
        <f t="shared" si="48"/>
        <v>-2167.6072940087888</v>
      </c>
      <c r="J43" s="52">
        <f t="shared" si="48"/>
        <v>-2213.0474763590082</v>
      </c>
      <c r="K43" s="52">
        <f t="shared" si="48"/>
        <v>-2259.6236632679838</v>
      </c>
      <c r="L43" s="52">
        <f t="shared" si="48"/>
        <v>-2307.3642548496828</v>
      </c>
      <c r="M43" s="52">
        <f t="shared" si="48"/>
        <v>-2356.2983612209246</v>
      </c>
      <c r="N43" s="52">
        <f t="shared" si="48"/>
        <v>-2406.4558202514477</v>
      </c>
      <c r="O43" s="52">
        <f t="shared" si="48"/>
        <v>-2457.8672157577339</v>
      </c>
      <c r="P43" s="52">
        <f t="shared" si="48"/>
        <v>-2510.563896151677</v>
      </c>
      <c r="Q43" s="52">
        <f t="shared" si="48"/>
        <v>-2564.5779935554688</v>
      </c>
      <c r="R43" s="52">
        <f t="shared" si="48"/>
        <v>-2619.9424433943555</v>
      </c>
      <c r="S43" s="52">
        <f t="shared" si="48"/>
        <v>-2676.6910044792148</v>
      </c>
      <c r="T43" s="52">
        <f t="shared" si="48"/>
        <v>-2734.8582795911948</v>
      </c>
      <c r="U43" s="52">
        <f t="shared" si="48"/>
        <v>-2794.4797365809741</v>
      </c>
      <c r="V43" s="52">
        <f t="shared" si="48"/>
        <v>-2855.5917299954986</v>
      </c>
      <c r="W43" s="52">
        <f t="shared" si="48"/>
        <v>-2918.2315232453866</v>
      </c>
      <c r="AB43" s="100">
        <f t="shared" si="3"/>
        <v>820</v>
      </c>
      <c r="AF43" s="102"/>
    </row>
    <row r="44" spans="1:35" ht="15" x14ac:dyDescent="0.25">
      <c r="A44" s="159" t="s">
        <v>49</v>
      </c>
      <c r="B44" s="160"/>
      <c r="C44" s="114"/>
      <c r="D44" s="52">
        <f>D43*(100%-$I$14)</f>
        <v>0</v>
      </c>
      <c r="E44" s="52">
        <f t="shared" ref="E44:W44" si="49">E43*(100%-$I$14)</f>
        <v>0</v>
      </c>
      <c r="F44" s="52">
        <f t="shared" si="49"/>
        <v>0</v>
      </c>
      <c r="G44" s="52">
        <f t="shared" si="49"/>
        <v>-1722.2605253437498</v>
      </c>
      <c r="H44" s="52">
        <f t="shared" si="49"/>
        <v>-1758.0720384773435</v>
      </c>
      <c r="I44" s="52">
        <f t="shared" si="49"/>
        <v>-1794.7788394392774</v>
      </c>
      <c r="J44" s="52">
        <f t="shared" si="49"/>
        <v>-1832.403310425259</v>
      </c>
      <c r="K44" s="52">
        <f t="shared" si="49"/>
        <v>-1870.9683931858908</v>
      </c>
      <c r="L44" s="52">
        <f t="shared" si="49"/>
        <v>-1910.4976030155374</v>
      </c>
      <c r="M44" s="52">
        <f t="shared" si="49"/>
        <v>-1951.0150430909257</v>
      </c>
      <c r="N44" s="52">
        <f t="shared" si="49"/>
        <v>-1992.5454191681988</v>
      </c>
      <c r="O44" s="52">
        <f t="shared" si="49"/>
        <v>-2035.1140546474039</v>
      </c>
      <c r="P44" s="52">
        <f t="shared" si="49"/>
        <v>-2078.7469060135886</v>
      </c>
      <c r="Q44" s="52">
        <f t="shared" si="49"/>
        <v>-2123.4705786639283</v>
      </c>
      <c r="R44" s="52">
        <f t="shared" si="49"/>
        <v>-2169.3123431305266</v>
      </c>
      <c r="S44" s="52">
        <f t="shared" si="49"/>
        <v>-2216.3001517087901</v>
      </c>
      <c r="T44" s="52">
        <f t="shared" si="49"/>
        <v>-2264.4626555015093</v>
      </c>
      <c r="U44" s="52">
        <f t="shared" si="49"/>
        <v>-2313.8292218890469</v>
      </c>
      <c r="V44" s="52">
        <f t="shared" si="49"/>
        <v>-2364.4299524362732</v>
      </c>
      <c r="W44" s="52">
        <f t="shared" si="49"/>
        <v>-2416.2957012471802</v>
      </c>
      <c r="AB44" s="100">
        <f t="shared" si="3"/>
        <v>830</v>
      </c>
      <c r="AF44" s="102"/>
    </row>
    <row r="45" spans="1:35" s="58" customFormat="1" ht="16.899999999999999" customHeight="1" x14ac:dyDescent="0.25">
      <c r="A45" s="161" t="s">
        <v>22</v>
      </c>
      <c r="B45" s="162"/>
      <c r="C45" s="116"/>
      <c r="D45" s="147" t="e">
        <f>(D44/$M$9)/$M$10</f>
        <v>#DIV/0!</v>
      </c>
      <c r="E45" s="147" t="e">
        <f t="shared" ref="E45:W45" si="50">(E44/$M$9)/$M$10</f>
        <v>#DIV/0!</v>
      </c>
      <c r="F45" s="147" t="e">
        <f t="shared" si="50"/>
        <v>#DIV/0!</v>
      </c>
      <c r="G45" s="147" t="e">
        <f t="shared" si="50"/>
        <v>#DIV/0!</v>
      </c>
      <c r="H45" s="147" t="e">
        <f t="shared" si="50"/>
        <v>#DIV/0!</v>
      </c>
      <c r="I45" s="147" t="e">
        <f t="shared" si="50"/>
        <v>#DIV/0!</v>
      </c>
      <c r="J45" s="147" t="e">
        <f t="shared" si="50"/>
        <v>#DIV/0!</v>
      </c>
      <c r="K45" s="147" t="e">
        <f t="shared" si="50"/>
        <v>#DIV/0!</v>
      </c>
      <c r="L45" s="147" t="e">
        <f t="shared" si="50"/>
        <v>#DIV/0!</v>
      </c>
      <c r="M45" s="147" t="e">
        <f t="shared" si="50"/>
        <v>#DIV/0!</v>
      </c>
      <c r="N45" s="147" t="e">
        <f t="shared" si="50"/>
        <v>#DIV/0!</v>
      </c>
      <c r="O45" s="147" t="e">
        <f t="shared" si="50"/>
        <v>#DIV/0!</v>
      </c>
      <c r="P45" s="147" t="e">
        <f t="shared" si="50"/>
        <v>#DIV/0!</v>
      </c>
      <c r="Q45" s="147" t="e">
        <f t="shared" si="50"/>
        <v>#DIV/0!</v>
      </c>
      <c r="R45" s="147" t="e">
        <f t="shared" si="50"/>
        <v>#DIV/0!</v>
      </c>
      <c r="S45" s="147" t="e">
        <f t="shared" si="50"/>
        <v>#DIV/0!</v>
      </c>
      <c r="T45" s="147" t="e">
        <f t="shared" si="50"/>
        <v>#DIV/0!</v>
      </c>
      <c r="U45" s="147" t="e">
        <f t="shared" si="50"/>
        <v>#DIV/0!</v>
      </c>
      <c r="V45" s="147" t="e">
        <f t="shared" si="50"/>
        <v>#DIV/0!</v>
      </c>
      <c r="W45" s="147" t="e">
        <f t="shared" si="50"/>
        <v>#DIV/0!</v>
      </c>
      <c r="AA45" s="100"/>
      <c r="AB45" s="100">
        <f t="shared" si="3"/>
        <v>840</v>
      </c>
      <c r="AC45" s="100"/>
      <c r="AD45" s="100"/>
      <c r="AE45" s="100"/>
      <c r="AF45" s="102"/>
      <c r="AG45" s="100"/>
      <c r="AH45" s="100"/>
      <c r="AI45" s="100"/>
    </row>
    <row r="46" spans="1:35" ht="16.899999999999999" customHeight="1" x14ac:dyDescent="0.25">
      <c r="AB46" s="100">
        <f t="shared" si="3"/>
        <v>850</v>
      </c>
    </row>
    <row r="47" spans="1:35" ht="16.899999999999999" customHeight="1" x14ac:dyDescent="0.25">
      <c r="A47" s="171" t="s">
        <v>35</v>
      </c>
      <c r="B47" s="172"/>
      <c r="C47" s="117"/>
      <c r="D47" s="62" t="str">
        <f t="shared" ref="D47:W47" si="51">IF(D20&lt;=$M$13,D25/-PMT($M$12,$M$13,$M$11),"")</f>
        <v/>
      </c>
      <c r="E47" s="62" t="str">
        <f t="shared" si="51"/>
        <v/>
      </c>
      <c r="F47" s="62" t="str">
        <f t="shared" si="51"/>
        <v/>
      </c>
      <c r="G47" s="62" t="str">
        <f t="shared" si="51"/>
        <v/>
      </c>
      <c r="H47" s="62" t="str">
        <f t="shared" si="51"/>
        <v/>
      </c>
      <c r="I47" s="62" t="str">
        <f t="shared" si="51"/>
        <v/>
      </c>
      <c r="J47" s="62" t="str">
        <f t="shared" si="51"/>
        <v/>
      </c>
      <c r="K47" s="62" t="str">
        <f t="shared" si="51"/>
        <v/>
      </c>
      <c r="L47" s="62" t="str">
        <f t="shared" si="51"/>
        <v/>
      </c>
      <c r="M47" s="62" t="str">
        <f t="shared" si="51"/>
        <v/>
      </c>
      <c r="N47" s="62" t="str">
        <f t="shared" si="51"/>
        <v/>
      </c>
      <c r="O47" s="62" t="str">
        <f t="shared" si="51"/>
        <v/>
      </c>
      <c r="P47" s="62" t="str">
        <f t="shared" si="51"/>
        <v/>
      </c>
      <c r="Q47" s="62" t="str">
        <f t="shared" si="51"/>
        <v/>
      </c>
      <c r="R47" s="62" t="str">
        <f t="shared" si="51"/>
        <v/>
      </c>
      <c r="S47" s="62" t="str">
        <f t="shared" si="51"/>
        <v/>
      </c>
      <c r="T47" s="62" t="str">
        <f t="shared" si="51"/>
        <v/>
      </c>
      <c r="U47" s="62" t="str">
        <f t="shared" si="51"/>
        <v/>
      </c>
      <c r="V47" s="62" t="str">
        <f t="shared" si="51"/>
        <v/>
      </c>
      <c r="W47" s="62" t="str">
        <f t="shared" si="51"/>
        <v/>
      </c>
      <c r="X47" s="63"/>
      <c r="AB47" s="100">
        <f t="shared" si="3"/>
        <v>860</v>
      </c>
    </row>
    <row r="48" spans="1:35" ht="16.899999999999999" customHeight="1" x14ac:dyDescent="0.25">
      <c r="AB48" s="100">
        <f t="shared" ref="AB48:AB61" si="52">AB47+10</f>
        <v>870</v>
      </c>
    </row>
    <row r="49" spans="1:35" ht="16.899999999999999" customHeight="1" x14ac:dyDescent="0.25">
      <c r="A49" s="158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AB49" s="100">
        <f t="shared" si="52"/>
        <v>880</v>
      </c>
    </row>
    <row r="50" spans="1:35" ht="16.899999999999999" customHeight="1" x14ac:dyDescent="0.25">
      <c r="AB50" s="100">
        <f t="shared" si="52"/>
        <v>890</v>
      </c>
    </row>
    <row r="51" spans="1:35" ht="16.899999999999999" customHeight="1" x14ac:dyDescent="0.25">
      <c r="A51" s="170" t="s">
        <v>18</v>
      </c>
      <c r="B51" s="170"/>
      <c r="C51" s="52" t="e">
        <f>W40</f>
        <v>#DIV/0!</v>
      </c>
      <c r="D51" s="79" t="e">
        <f>IF(C51&gt;0,"OK","PB")</f>
        <v>#DIV/0!</v>
      </c>
      <c r="F51" s="64"/>
      <c r="AB51" s="100">
        <f t="shared" si="52"/>
        <v>900</v>
      </c>
    </row>
    <row r="52" spans="1:35" ht="16.899999999999999" customHeight="1" x14ac:dyDescent="0.25">
      <c r="A52" s="170" t="s">
        <v>40</v>
      </c>
      <c r="B52" s="170"/>
      <c r="C52" s="52">
        <f>SUM(D42:W42)</f>
        <v>-18019.928953097529</v>
      </c>
      <c r="AB52" s="100">
        <f t="shared" si="52"/>
        <v>910</v>
      </c>
    </row>
    <row r="53" spans="1:35" ht="15" x14ac:dyDescent="0.25">
      <c r="A53" s="170" t="s">
        <v>19</v>
      </c>
      <c r="B53" s="170"/>
      <c r="C53" s="65" t="e">
        <f>IRR(C37:W37)</f>
        <v>#NUM!</v>
      </c>
      <c r="D53" s="2" t="e">
        <f>IF(C53&gt;M12,"OK","PB")</f>
        <v>#NUM!</v>
      </c>
      <c r="AB53" s="100">
        <f t="shared" si="52"/>
        <v>920</v>
      </c>
    </row>
    <row r="54" spans="1:35" ht="29.45" customHeight="1" x14ac:dyDescent="0.25">
      <c r="A54" s="170" t="s">
        <v>20</v>
      </c>
      <c r="B54" s="170"/>
      <c r="C54" s="183" t="e">
        <f>AVERAGE(D34:W34)/M8</f>
        <v>#DIV/0!</v>
      </c>
      <c r="AB54" s="100">
        <f t="shared" si="52"/>
        <v>930</v>
      </c>
    </row>
    <row r="55" spans="1:35" ht="26.45" customHeight="1" x14ac:dyDescent="0.25">
      <c r="A55" s="170" t="s">
        <v>41</v>
      </c>
      <c r="B55" s="170"/>
      <c r="C55" s="66" t="e">
        <f>AVERAGE(D45:W45)</f>
        <v>#DIV/0!</v>
      </c>
      <c r="AB55" s="100">
        <f t="shared" si="52"/>
        <v>940</v>
      </c>
    </row>
    <row r="56" spans="1:35" ht="16.899999999999999" customHeight="1" x14ac:dyDescent="0.25">
      <c r="AB56" s="100">
        <f t="shared" si="52"/>
        <v>950</v>
      </c>
    </row>
    <row r="57" spans="1:35" ht="16.899999999999999" customHeight="1" x14ac:dyDescent="0.25">
      <c r="A57" s="67" t="s">
        <v>100</v>
      </c>
      <c r="B57" s="80" t="e">
        <f>C11/(C9*1000)</f>
        <v>#DIV/0!</v>
      </c>
      <c r="AB57" s="100">
        <f t="shared" si="52"/>
        <v>960</v>
      </c>
    </row>
    <row r="58" spans="1:35" ht="16.899999999999999" customHeight="1" x14ac:dyDescent="0.25">
      <c r="D58" s="68"/>
      <c r="AB58" s="100">
        <f t="shared" si="52"/>
        <v>970</v>
      </c>
    </row>
    <row r="59" spans="1:35" customFormat="1" ht="16.899999999999999" customHeight="1" x14ac:dyDescent="0.25">
      <c r="AA59" s="106"/>
      <c r="AB59" s="100">
        <f t="shared" si="52"/>
        <v>980</v>
      </c>
      <c r="AC59" s="106"/>
      <c r="AD59" s="106"/>
      <c r="AE59" s="106"/>
      <c r="AF59" s="106"/>
      <c r="AG59" s="106"/>
      <c r="AH59" s="106"/>
      <c r="AI59" s="106"/>
    </row>
    <row r="60" spans="1:35" ht="16.899999999999999" customHeight="1" x14ac:dyDescent="0.25">
      <c r="AB60" s="100">
        <f t="shared" si="52"/>
        <v>990</v>
      </c>
    </row>
    <row r="61" spans="1:35" ht="16.899999999999999" customHeight="1" x14ac:dyDescent="0.25">
      <c r="AB61" s="100">
        <f t="shared" si="52"/>
        <v>1000</v>
      </c>
    </row>
    <row r="62" spans="1:35" ht="16.899999999999999" customHeight="1" x14ac:dyDescent="0.25">
      <c r="AB62" s="2"/>
    </row>
  </sheetData>
  <mergeCells count="77">
    <mergeCell ref="A26:B26"/>
    <mergeCell ref="A31:B31"/>
    <mergeCell ref="A24:B24"/>
    <mergeCell ref="A21:B21"/>
    <mergeCell ref="A22:B22"/>
    <mergeCell ref="A23:B23"/>
    <mergeCell ref="A16:B16"/>
    <mergeCell ref="A15:B15"/>
    <mergeCell ref="K13:L13"/>
    <mergeCell ref="A8:B8"/>
    <mergeCell ref="F11:H11"/>
    <mergeCell ref="F12:H12"/>
    <mergeCell ref="F13:H13"/>
    <mergeCell ref="A14:B14"/>
    <mergeCell ref="K14:L14"/>
    <mergeCell ref="K8:L8"/>
    <mergeCell ref="F8:H8"/>
    <mergeCell ref="F9:H9"/>
    <mergeCell ref="F10:H10"/>
    <mergeCell ref="A9:B9"/>
    <mergeCell ref="A10:B10"/>
    <mergeCell ref="V18:W18"/>
    <mergeCell ref="A18:E18"/>
    <mergeCell ref="F18:H18"/>
    <mergeCell ref="I18:K18"/>
    <mergeCell ref="L18:M18"/>
    <mergeCell ref="N18:O18"/>
    <mergeCell ref="P18:Q18"/>
    <mergeCell ref="R18:S18"/>
    <mergeCell ref="T18:U18"/>
    <mergeCell ref="N49:O49"/>
    <mergeCell ref="P49:Q49"/>
    <mergeCell ref="R49:S49"/>
    <mergeCell ref="T49:U49"/>
    <mergeCell ref="V49:W49"/>
    <mergeCell ref="A55:B55"/>
    <mergeCell ref="A43:B43"/>
    <mergeCell ref="A45:B45"/>
    <mergeCell ref="I49:K49"/>
    <mergeCell ref="L49:M49"/>
    <mergeCell ref="A51:B51"/>
    <mergeCell ref="A53:B53"/>
    <mergeCell ref="A54:B54"/>
    <mergeCell ref="A52:B52"/>
    <mergeCell ref="A49:E49"/>
    <mergeCell ref="F49:H49"/>
    <mergeCell ref="A44:B44"/>
    <mergeCell ref="A47:B47"/>
    <mergeCell ref="A42:B42"/>
    <mergeCell ref="F14:H14"/>
    <mergeCell ref="A40:B40"/>
    <mergeCell ref="A34:B34"/>
    <mergeCell ref="A36:B36"/>
    <mergeCell ref="A39:B39"/>
    <mergeCell ref="A37:B37"/>
    <mergeCell ref="A33:B33"/>
    <mergeCell ref="A38:B38"/>
    <mergeCell ref="F15:H15"/>
    <mergeCell ref="A29:B29"/>
    <mergeCell ref="A30:B30"/>
    <mergeCell ref="A27:B27"/>
    <mergeCell ref="A28:B28"/>
    <mergeCell ref="A32:B32"/>
    <mergeCell ref="A25:B25"/>
    <mergeCell ref="A1:W1"/>
    <mergeCell ref="K9:L9"/>
    <mergeCell ref="K10:L10"/>
    <mergeCell ref="K6:N6"/>
    <mergeCell ref="O8:P8"/>
    <mergeCell ref="O9:P9"/>
    <mergeCell ref="O10:P10"/>
    <mergeCell ref="O12:P13"/>
    <mergeCell ref="Q12:Q13"/>
    <mergeCell ref="K11:L11"/>
    <mergeCell ref="S8:U8"/>
    <mergeCell ref="S10:U10"/>
    <mergeCell ref="K12:L12"/>
  </mergeCells>
  <conditionalFormatting sqref="C51:C52">
    <cfRule type="cellIs" dxfId="11" priority="9" operator="lessThan">
      <formula>0</formula>
    </cfRule>
  </conditionalFormatting>
  <conditionalFormatting sqref="D51">
    <cfRule type="containsText" dxfId="10" priority="3" operator="containsText" text="PB">
      <formula>NOT(ISERROR(SEARCH("PB",D51)))</formula>
    </cfRule>
    <cfRule type="containsText" dxfId="9" priority="4" operator="containsText" text="OK">
      <formula>NOT(ISERROR(SEARCH("OK",D51)))</formula>
    </cfRule>
  </conditionalFormatting>
  <conditionalFormatting sqref="D53">
    <cfRule type="cellIs" dxfId="8" priority="1" operator="equal">
      <formula>"PB"</formula>
    </cfRule>
    <cfRule type="cellIs" dxfId="7" priority="2" operator="equal">
      <formula>"OK"</formula>
    </cfRule>
  </conditionalFormatting>
  <dataValidations count="3">
    <dataValidation type="list" allowBlank="1" showInputMessage="1" showErrorMessage="1" sqref="B4" xr:uid="{00000000-0002-0000-0000-000000000000}">
      <formula1>$AE$2:$AE$3</formula1>
    </dataValidation>
    <dataValidation type="list" allowBlank="1" showInputMessage="1" showErrorMessage="1" sqref="I12" xr:uid="{00000000-0002-0000-0000-000001000000}">
      <formula1>$AF$2:$AF$24</formula1>
    </dataValidation>
    <dataValidation type="list" allowBlank="1" showInputMessage="1" showErrorMessage="1" sqref="M13" xr:uid="{00000000-0002-0000-0000-000002000000}">
      <formula1>$AC$2:$AC$10</formula1>
    </dataValidation>
  </dataValidations>
  <pageMargins left="0.19685039370078741" right="0.31496062992125984" top="0.31496062992125984" bottom="0.39370078740157483" header="0.31496062992125984" footer="0.31496062992125984"/>
  <pageSetup paperSize="9" scale="68" orientation="landscape" r:id="rId1"/>
  <colBreaks count="1" manualBreakCount="1">
    <brk id="2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8"/>
  <sheetViews>
    <sheetView zoomScale="80" zoomScaleNormal="80" workbookViewId="0">
      <selection activeCell="F32" sqref="F32"/>
    </sheetView>
  </sheetViews>
  <sheetFormatPr baseColWidth="10" defaultColWidth="11.5703125" defaultRowHeight="15" x14ac:dyDescent="0.25"/>
  <cols>
    <col min="1" max="1" width="8.85546875" style="16" customWidth="1"/>
    <col min="2" max="2" width="22" customWidth="1"/>
    <col min="3" max="3" width="9.85546875" style="10" customWidth="1"/>
    <col min="4" max="5" width="12.7109375" style="10" customWidth="1"/>
    <col min="6" max="6" width="10.7109375" style="10" customWidth="1"/>
    <col min="7" max="7" width="15.28515625" style="10" customWidth="1"/>
    <col min="8" max="8" width="16.7109375" style="10" customWidth="1"/>
    <col min="9" max="9" width="3.85546875" customWidth="1"/>
    <col min="10" max="11" width="83.85546875" style="10" customWidth="1"/>
    <col min="13" max="13" width="13.28515625" customWidth="1"/>
    <col min="22" max="22" width="14.7109375" customWidth="1"/>
  </cols>
  <sheetData>
    <row r="1" spans="1:14" ht="27" thickBot="1" x14ac:dyDescent="0.45">
      <c r="A1" s="173" t="s">
        <v>65</v>
      </c>
      <c r="B1" s="174"/>
      <c r="C1" s="174"/>
      <c r="D1" s="174"/>
      <c r="E1" s="174"/>
      <c r="F1" s="174"/>
      <c r="G1" s="174"/>
      <c r="H1" s="174"/>
      <c r="I1" s="91"/>
    </row>
    <row r="2" spans="1:14" x14ac:dyDescent="0.25">
      <c r="A2" s="108" t="s">
        <v>139</v>
      </c>
    </row>
    <row r="3" spans="1:14" s="90" customFormat="1" ht="33.75" x14ac:dyDescent="0.25">
      <c r="A3" s="107"/>
      <c r="B3" s="89" t="s">
        <v>96</v>
      </c>
      <c r="C3" s="14" t="s">
        <v>118</v>
      </c>
      <c r="D3" s="14" t="s">
        <v>125</v>
      </c>
      <c r="E3" s="14" t="s">
        <v>140</v>
      </c>
      <c r="F3" s="14" t="s">
        <v>141</v>
      </c>
      <c r="G3" s="14" t="s">
        <v>129</v>
      </c>
      <c r="H3" s="14" t="s">
        <v>64</v>
      </c>
      <c r="J3" s="94" t="s">
        <v>124</v>
      </c>
      <c r="K3" s="93"/>
      <c r="L3" s="11"/>
      <c r="M3" t="s">
        <v>135</v>
      </c>
      <c r="N3" s="133" t="s">
        <v>152</v>
      </c>
    </row>
    <row r="4" spans="1:14" ht="15.75" x14ac:dyDescent="0.25">
      <c r="A4" t="s">
        <v>135</v>
      </c>
      <c r="B4" s="27" t="s">
        <v>68</v>
      </c>
      <c r="C4" s="29"/>
      <c r="D4" s="29"/>
      <c r="E4" s="29"/>
      <c r="F4" s="14" t="e">
        <f>E4/D4</f>
        <v>#DIV/0!</v>
      </c>
      <c r="G4" s="30"/>
      <c r="H4" s="23">
        <f>G4*E4/100</f>
        <v>0</v>
      </c>
      <c r="J4" s="96" t="s">
        <v>128</v>
      </c>
      <c r="K4" s="109"/>
      <c r="M4" t="s">
        <v>134</v>
      </c>
      <c r="N4" s="132">
        <f t="shared" ref="N4:N23" si="0">IF(A4="oui",1,0)</f>
        <v>1</v>
      </c>
    </row>
    <row r="5" spans="1:14" ht="15.75" x14ac:dyDescent="0.25">
      <c r="A5" t="s">
        <v>135</v>
      </c>
      <c r="B5" s="27" t="s">
        <v>69</v>
      </c>
      <c r="C5" s="29"/>
      <c r="D5" s="29"/>
      <c r="E5" s="29"/>
      <c r="F5" s="14" t="e">
        <f t="shared" ref="F5:F23" si="1">E5/D5</f>
        <v>#DIV/0!</v>
      </c>
      <c r="G5" s="30"/>
      <c r="H5" s="23">
        <f t="shared" ref="H5:H12" si="2">G5*E5/100</f>
        <v>0</v>
      </c>
      <c r="J5" s="95"/>
      <c r="N5" s="132">
        <f t="shared" si="0"/>
        <v>1</v>
      </c>
    </row>
    <row r="6" spans="1:14" ht="15.75" x14ac:dyDescent="0.25">
      <c r="A6" t="s">
        <v>135</v>
      </c>
      <c r="B6" s="27" t="s">
        <v>70</v>
      </c>
      <c r="C6" s="29"/>
      <c r="D6" s="29"/>
      <c r="E6" s="29"/>
      <c r="F6" s="14" t="e">
        <f t="shared" si="1"/>
        <v>#DIV/0!</v>
      </c>
      <c r="G6" s="30"/>
      <c r="H6" s="23">
        <f t="shared" si="2"/>
        <v>0</v>
      </c>
      <c r="J6" s="175" t="s">
        <v>136</v>
      </c>
      <c r="K6" s="110"/>
      <c r="N6" s="132">
        <f t="shared" si="0"/>
        <v>1</v>
      </c>
    </row>
    <row r="7" spans="1:14" ht="15.75" x14ac:dyDescent="0.25">
      <c r="A7" t="s">
        <v>135</v>
      </c>
      <c r="B7" s="27" t="s">
        <v>71</v>
      </c>
      <c r="C7" s="29"/>
      <c r="D7" s="29"/>
      <c r="E7" s="29"/>
      <c r="F7" s="14" t="e">
        <f t="shared" si="1"/>
        <v>#DIV/0!</v>
      </c>
      <c r="G7" s="30"/>
      <c r="H7" s="23">
        <f t="shared" si="2"/>
        <v>0</v>
      </c>
      <c r="J7" s="175"/>
      <c r="K7" s="110"/>
      <c r="N7" s="132">
        <f t="shared" si="0"/>
        <v>1</v>
      </c>
    </row>
    <row r="8" spans="1:14" ht="15.75" x14ac:dyDescent="0.25">
      <c r="A8" t="s">
        <v>135</v>
      </c>
      <c r="B8" s="27" t="s">
        <v>72</v>
      </c>
      <c r="C8" s="29"/>
      <c r="D8" s="29"/>
      <c r="E8" s="29"/>
      <c r="F8" s="14" t="e">
        <f t="shared" si="1"/>
        <v>#DIV/0!</v>
      </c>
      <c r="G8" s="30"/>
      <c r="H8" s="23">
        <f t="shared" si="2"/>
        <v>0</v>
      </c>
      <c r="J8" s="96" t="s">
        <v>192</v>
      </c>
      <c r="K8" s="109"/>
      <c r="N8" s="132">
        <f t="shared" si="0"/>
        <v>1</v>
      </c>
    </row>
    <row r="9" spans="1:14" ht="15.75" x14ac:dyDescent="0.25">
      <c r="A9" t="s">
        <v>135</v>
      </c>
      <c r="B9" s="27" t="s">
        <v>73</v>
      </c>
      <c r="C9" s="29"/>
      <c r="D9" s="29"/>
      <c r="E9" s="29"/>
      <c r="F9" s="14" t="e">
        <f t="shared" si="1"/>
        <v>#DIV/0!</v>
      </c>
      <c r="G9" s="30"/>
      <c r="H9" s="23">
        <f t="shared" si="2"/>
        <v>0</v>
      </c>
      <c r="J9" s="96" t="s">
        <v>127</v>
      </c>
      <c r="N9" s="132">
        <f t="shared" si="0"/>
        <v>1</v>
      </c>
    </row>
    <row r="10" spans="1:14" ht="15.75" x14ac:dyDescent="0.25">
      <c r="A10" t="s">
        <v>135</v>
      </c>
      <c r="B10" s="27" t="s">
        <v>74</v>
      </c>
      <c r="C10" s="29"/>
      <c r="D10" s="29"/>
      <c r="E10" s="29"/>
      <c r="F10" s="14" t="e">
        <f t="shared" si="1"/>
        <v>#DIV/0!</v>
      </c>
      <c r="G10" s="30"/>
      <c r="H10" s="23">
        <f t="shared" si="2"/>
        <v>0</v>
      </c>
      <c r="J10" s="176" t="s">
        <v>126</v>
      </c>
      <c r="K10" s="111"/>
      <c r="N10" s="132">
        <f t="shared" si="0"/>
        <v>1</v>
      </c>
    </row>
    <row r="11" spans="1:14" ht="15.75" x14ac:dyDescent="0.25">
      <c r="A11" t="s">
        <v>135</v>
      </c>
      <c r="B11" s="27" t="s">
        <v>75</v>
      </c>
      <c r="C11" s="29"/>
      <c r="D11" s="29"/>
      <c r="E11" s="29"/>
      <c r="F11" s="14" t="e">
        <f t="shared" si="1"/>
        <v>#DIV/0!</v>
      </c>
      <c r="G11" s="30"/>
      <c r="H11" s="23">
        <f t="shared" si="2"/>
        <v>0</v>
      </c>
      <c r="J11" s="177"/>
      <c r="K11" s="111"/>
      <c r="N11" s="132">
        <f t="shared" si="0"/>
        <v>1</v>
      </c>
    </row>
    <row r="12" spans="1:14" ht="15.75" x14ac:dyDescent="0.25">
      <c r="A12" t="s">
        <v>135</v>
      </c>
      <c r="B12" s="27" t="s">
        <v>76</v>
      </c>
      <c r="C12" s="29"/>
      <c r="D12" s="29"/>
      <c r="E12" s="29"/>
      <c r="F12" s="14" t="e">
        <f t="shared" si="1"/>
        <v>#DIV/0!</v>
      </c>
      <c r="G12" s="30"/>
      <c r="H12" s="23">
        <f t="shared" si="2"/>
        <v>0</v>
      </c>
      <c r="K12" s="109"/>
      <c r="N12" s="132">
        <f t="shared" si="0"/>
        <v>1</v>
      </c>
    </row>
    <row r="13" spans="1:14" ht="15.75" x14ac:dyDescent="0.25">
      <c r="A13" t="s">
        <v>135</v>
      </c>
      <c r="B13" s="27" t="s">
        <v>82</v>
      </c>
      <c r="C13" s="29"/>
      <c r="D13" s="29"/>
      <c r="E13" s="29"/>
      <c r="F13" s="14" t="e">
        <f t="shared" si="1"/>
        <v>#DIV/0!</v>
      </c>
      <c r="G13" s="30"/>
      <c r="H13" s="23">
        <f t="shared" ref="H13:H18" si="3">G13*E13/100</f>
        <v>0</v>
      </c>
      <c r="K13" s="112"/>
      <c r="N13" s="132">
        <f t="shared" si="0"/>
        <v>1</v>
      </c>
    </row>
    <row r="14" spans="1:14" ht="15.75" x14ac:dyDescent="0.25">
      <c r="A14" t="s">
        <v>135</v>
      </c>
      <c r="B14" s="27" t="s">
        <v>84</v>
      </c>
      <c r="C14" s="29"/>
      <c r="D14" s="29"/>
      <c r="E14" s="29"/>
      <c r="F14" s="14" t="e">
        <f t="shared" si="1"/>
        <v>#DIV/0!</v>
      </c>
      <c r="G14" s="30"/>
      <c r="H14" s="23">
        <f t="shared" si="3"/>
        <v>0</v>
      </c>
      <c r="K14" s="112"/>
      <c r="N14" s="132">
        <f t="shared" si="0"/>
        <v>1</v>
      </c>
    </row>
    <row r="15" spans="1:14" ht="15.75" x14ac:dyDescent="0.25">
      <c r="A15" t="s">
        <v>135</v>
      </c>
      <c r="B15" s="27" t="s">
        <v>85</v>
      </c>
      <c r="C15" s="29"/>
      <c r="D15" s="29"/>
      <c r="E15" s="29"/>
      <c r="F15" s="14" t="e">
        <f t="shared" si="1"/>
        <v>#DIV/0!</v>
      </c>
      <c r="G15" s="30"/>
      <c r="H15" s="23">
        <f t="shared" si="3"/>
        <v>0</v>
      </c>
      <c r="N15" s="132">
        <f t="shared" si="0"/>
        <v>1</v>
      </c>
    </row>
    <row r="16" spans="1:14" ht="15.75" x14ac:dyDescent="0.25">
      <c r="A16" t="s">
        <v>135</v>
      </c>
      <c r="B16" s="27" t="s">
        <v>86</v>
      </c>
      <c r="C16" s="29"/>
      <c r="D16" s="29"/>
      <c r="E16" s="29"/>
      <c r="F16" s="14" t="e">
        <f t="shared" si="1"/>
        <v>#DIV/0!</v>
      </c>
      <c r="G16" s="30"/>
      <c r="H16" s="23">
        <f t="shared" si="3"/>
        <v>0</v>
      </c>
      <c r="N16" s="132">
        <f t="shared" si="0"/>
        <v>1</v>
      </c>
    </row>
    <row r="17" spans="1:14" ht="15.75" x14ac:dyDescent="0.25">
      <c r="A17" t="s">
        <v>135</v>
      </c>
      <c r="B17" s="27" t="s">
        <v>87</v>
      </c>
      <c r="C17" s="29"/>
      <c r="D17" s="29"/>
      <c r="E17" s="29"/>
      <c r="F17" s="14" t="e">
        <f t="shared" si="1"/>
        <v>#DIV/0!</v>
      </c>
      <c r="G17" s="30"/>
      <c r="H17" s="23">
        <f t="shared" si="3"/>
        <v>0</v>
      </c>
      <c r="N17" s="132">
        <f t="shared" si="0"/>
        <v>1</v>
      </c>
    </row>
    <row r="18" spans="1:14" ht="15.75" x14ac:dyDescent="0.25">
      <c r="A18" t="s">
        <v>135</v>
      </c>
      <c r="B18" s="27" t="s">
        <v>88</v>
      </c>
      <c r="C18" s="29"/>
      <c r="D18" s="29"/>
      <c r="E18" s="29"/>
      <c r="F18" s="14" t="e">
        <f t="shared" si="1"/>
        <v>#DIV/0!</v>
      </c>
      <c r="G18" s="30"/>
      <c r="H18" s="23">
        <f t="shared" si="3"/>
        <v>0</v>
      </c>
      <c r="N18" s="132">
        <f t="shared" si="0"/>
        <v>1</v>
      </c>
    </row>
    <row r="19" spans="1:14" ht="15.75" x14ac:dyDescent="0.25">
      <c r="A19" t="s">
        <v>135</v>
      </c>
      <c r="B19" s="27" t="s">
        <v>89</v>
      </c>
      <c r="C19" s="29"/>
      <c r="D19" s="29"/>
      <c r="E19" s="29"/>
      <c r="F19" s="14" t="e">
        <f t="shared" si="1"/>
        <v>#DIV/0!</v>
      </c>
      <c r="G19" s="30"/>
      <c r="H19" s="23">
        <f t="shared" ref="H19:H23" si="4">G19*E19/100</f>
        <v>0</v>
      </c>
      <c r="N19" s="132">
        <f t="shared" si="0"/>
        <v>1</v>
      </c>
    </row>
    <row r="20" spans="1:14" ht="15.75" x14ac:dyDescent="0.25">
      <c r="A20" t="s">
        <v>135</v>
      </c>
      <c r="B20" s="27" t="s">
        <v>120</v>
      </c>
      <c r="C20" s="29"/>
      <c r="D20" s="29"/>
      <c r="E20" s="29"/>
      <c r="F20" s="14" t="e">
        <f t="shared" si="1"/>
        <v>#DIV/0!</v>
      </c>
      <c r="G20" s="30"/>
      <c r="H20" s="23">
        <f t="shared" si="4"/>
        <v>0</v>
      </c>
      <c r="N20" s="132">
        <f t="shared" si="0"/>
        <v>1</v>
      </c>
    </row>
    <row r="21" spans="1:14" ht="15.75" x14ac:dyDescent="0.25">
      <c r="A21" t="s">
        <v>135</v>
      </c>
      <c r="B21" s="27" t="s">
        <v>121</v>
      </c>
      <c r="C21" s="29"/>
      <c r="D21" s="29"/>
      <c r="E21" s="29"/>
      <c r="F21" s="14" t="e">
        <f t="shared" si="1"/>
        <v>#DIV/0!</v>
      </c>
      <c r="G21" s="30"/>
      <c r="H21" s="23">
        <f t="shared" si="4"/>
        <v>0</v>
      </c>
      <c r="N21" s="132">
        <f t="shared" si="0"/>
        <v>1</v>
      </c>
    </row>
    <row r="22" spans="1:14" ht="15.75" x14ac:dyDescent="0.25">
      <c r="A22" t="s">
        <v>135</v>
      </c>
      <c r="B22" s="27" t="s">
        <v>122</v>
      </c>
      <c r="C22" s="29"/>
      <c r="D22" s="29"/>
      <c r="E22" s="29"/>
      <c r="F22" s="14" t="e">
        <f t="shared" si="1"/>
        <v>#DIV/0!</v>
      </c>
      <c r="G22" s="30"/>
      <c r="H22" s="23">
        <f t="shared" si="4"/>
        <v>0</v>
      </c>
      <c r="N22" s="132">
        <f t="shared" si="0"/>
        <v>1</v>
      </c>
    </row>
    <row r="23" spans="1:14" ht="15.75" x14ac:dyDescent="0.25">
      <c r="A23" t="s">
        <v>135</v>
      </c>
      <c r="B23" s="27" t="s">
        <v>123</v>
      </c>
      <c r="C23" s="29"/>
      <c r="D23" s="29"/>
      <c r="E23" s="29"/>
      <c r="F23" s="14" t="e">
        <f t="shared" si="1"/>
        <v>#DIV/0!</v>
      </c>
      <c r="G23" s="30"/>
      <c r="H23" s="23">
        <f t="shared" si="4"/>
        <v>0</v>
      </c>
      <c r="N23" s="132">
        <f t="shared" si="0"/>
        <v>1</v>
      </c>
    </row>
    <row r="24" spans="1:14" ht="18.75" x14ac:dyDescent="0.3">
      <c r="A24" s="124"/>
      <c r="B24" s="125"/>
      <c r="C24" s="123">
        <f>SUMPRODUCT(C4:C23,$N$4:$N$23)</f>
        <v>0</v>
      </c>
      <c r="D24" s="123">
        <f>SUMPRODUCT(D4:D23,$N$4:$N$23)</f>
        <v>0</v>
      </c>
      <c r="E24" s="123">
        <f>SUMPRODUCT(E4:E23,$N$4:$N$23)</f>
        <v>0</v>
      </c>
      <c r="G24" s="106"/>
      <c r="H24" s="123">
        <f>SUMPRODUCT(H4:H23,$N$4:$N$23)</f>
        <v>0</v>
      </c>
      <c r="N24" s="90"/>
    </row>
    <row r="25" spans="1:14" ht="6.75" customHeight="1" x14ac:dyDescent="0.25">
      <c r="A25"/>
      <c r="C25"/>
      <c r="D25"/>
      <c r="E25"/>
      <c r="G25"/>
      <c r="H25"/>
      <c r="J25"/>
      <c r="K25"/>
    </row>
    <row r="26" spans="1:14" x14ac:dyDescent="0.25">
      <c r="N26" s="90"/>
    </row>
    <row r="27" spans="1:14" x14ac:dyDescent="0.25">
      <c r="C27" s="2"/>
      <c r="D27"/>
      <c r="E27"/>
      <c r="F27"/>
      <c r="G27"/>
      <c r="H27"/>
      <c r="N27" s="90"/>
    </row>
    <row r="28" spans="1:14" x14ac:dyDescent="0.25">
      <c r="D28"/>
      <c r="E28"/>
      <c r="F28"/>
      <c r="G28"/>
      <c r="H28"/>
      <c r="N28" s="90"/>
    </row>
    <row r="29" spans="1:14" x14ac:dyDescent="0.25">
      <c r="N29" s="90"/>
    </row>
    <row r="30" spans="1:14" x14ac:dyDescent="0.25">
      <c r="N30" s="90"/>
    </row>
    <row r="35" spans="1:11" x14ac:dyDescent="0.25">
      <c r="E35"/>
      <c r="F35"/>
    </row>
    <row r="37" spans="1:11" x14ac:dyDescent="0.25">
      <c r="A37" s="17"/>
      <c r="B37" s="18"/>
    </row>
    <row r="38" spans="1:11" s="19" customFormat="1" x14ac:dyDescent="0.25">
      <c r="A38" s="21"/>
      <c r="C38" s="20"/>
      <c r="D38" s="20"/>
      <c r="E38" s="20"/>
      <c r="F38" s="20"/>
      <c r="G38" s="20"/>
      <c r="H38" s="20"/>
      <c r="J38" s="20"/>
      <c r="K38" s="20"/>
    </row>
  </sheetData>
  <mergeCells count="3">
    <mergeCell ref="A1:H1"/>
    <mergeCell ref="J6:J7"/>
    <mergeCell ref="J10:J11"/>
  </mergeCells>
  <conditionalFormatting sqref="A4:A23">
    <cfRule type="cellIs" dxfId="6" priority="1" operator="equal">
      <formula>"NON"</formula>
    </cfRule>
  </conditionalFormatting>
  <conditionalFormatting sqref="A4:A24">
    <cfRule type="cellIs" dxfId="5" priority="2" operator="equal">
      <formula>"Oui"</formula>
    </cfRule>
  </conditionalFormatting>
  <conditionalFormatting sqref="H4:H19">
    <cfRule type="dataBar" priority="11">
      <dataBar>
        <cfvo type="min"/>
        <cfvo type="max"/>
        <color rgb="FF008AEF"/>
      </dataBar>
    </cfRule>
  </conditionalFormatting>
  <conditionalFormatting sqref="H20:H23">
    <cfRule type="dataBar" priority="13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A4:A23" xr:uid="{00000000-0002-0000-0100-000000000000}">
      <formula1>$M$3:$M$4</formula1>
    </dataValidation>
  </dataValidations>
  <hyperlinks>
    <hyperlink ref="J10" r:id="rId1" xr:uid="{00000000-0004-0000-0100-000000000000}"/>
    <hyperlink ref="J10:J11" r:id="rId2" display="Pour connaître les tarifs du trimestre actuel, consulter la page Actualités du site des Centrales Villageoises." xr:uid="{00000000-0004-0000-01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61"/>
  <sheetViews>
    <sheetView topLeftCell="G13" zoomScale="70" zoomScaleNormal="70" workbookViewId="0">
      <selection activeCell="P48" sqref="P48"/>
    </sheetView>
  </sheetViews>
  <sheetFormatPr baseColWidth="10" defaultColWidth="11.5703125" defaultRowHeight="15" x14ac:dyDescent="0.25"/>
  <cols>
    <col min="1" max="1" width="7.7109375" customWidth="1"/>
    <col min="2" max="2" width="24.28515625" customWidth="1"/>
    <col min="3" max="3" width="10.5703125" customWidth="1"/>
    <col min="4" max="4" width="17.42578125" customWidth="1"/>
    <col min="5" max="5" width="16.42578125" customWidth="1"/>
    <col min="6" max="6" width="12.28515625" customWidth="1"/>
    <col min="7" max="7" width="11.85546875" customWidth="1"/>
    <col min="8" max="8" width="14.140625" customWidth="1"/>
    <col min="9" max="9" width="21.140625" customWidth="1"/>
    <col min="10" max="10" width="22" customWidth="1"/>
    <col min="11" max="11" width="15.28515625" customWidth="1"/>
    <col min="12" max="12" width="16.7109375" customWidth="1"/>
    <col min="13" max="13" width="15.85546875" customWidth="1"/>
    <col min="14" max="14" width="2" customWidth="1"/>
    <col min="15" max="15" width="28.140625" customWidth="1"/>
    <col min="16" max="16" width="119.42578125" customWidth="1"/>
    <col min="17" max="17" width="3.85546875" customWidth="1"/>
    <col min="18" max="18" width="13.140625" customWidth="1"/>
    <col min="19" max="23" width="17.42578125" customWidth="1"/>
  </cols>
  <sheetData>
    <row r="1" spans="1:29" ht="26.25" x14ac:dyDescent="0.4">
      <c r="B1" s="178" t="s">
        <v>98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P1" s="97"/>
    </row>
    <row r="3" spans="1:29" s="15" customFormat="1" ht="42.75" customHeight="1" x14ac:dyDescent="0.25">
      <c r="A3"/>
      <c r="C3" s="126" t="s">
        <v>144</v>
      </c>
      <c r="D3" s="26" t="s">
        <v>130</v>
      </c>
      <c r="E3" s="26" t="s">
        <v>54</v>
      </c>
      <c r="F3" s="26" t="s">
        <v>55</v>
      </c>
      <c r="G3" s="26" t="s">
        <v>56</v>
      </c>
      <c r="H3" s="26" t="s">
        <v>57</v>
      </c>
      <c r="I3" s="126" t="s">
        <v>182</v>
      </c>
      <c r="J3" s="126" t="s">
        <v>183</v>
      </c>
      <c r="K3" s="126" t="s">
        <v>184</v>
      </c>
      <c r="L3" s="126" t="s">
        <v>185</v>
      </c>
      <c r="M3" s="26" t="s">
        <v>37</v>
      </c>
      <c r="N3"/>
      <c r="O3" s="127" t="s">
        <v>145</v>
      </c>
      <c r="P3" s="130" t="s">
        <v>151</v>
      </c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.75" x14ac:dyDescent="0.25">
      <c r="A4" t="str">
        <f>ENCAISSEMENTS!A4</f>
        <v>oui</v>
      </c>
      <c r="B4" s="1" t="str">
        <f>ENCAISSEMENTS!B4</f>
        <v>INSTALL 1</v>
      </c>
      <c r="C4" s="31"/>
      <c r="D4" s="32"/>
      <c r="E4" s="29"/>
      <c r="F4" s="29"/>
      <c r="G4" s="29"/>
      <c r="H4" s="29"/>
      <c r="I4" s="29"/>
      <c r="J4" s="29"/>
      <c r="K4" s="29"/>
      <c r="L4" s="29"/>
      <c r="M4" s="24">
        <f>SUM(C4:L4)</f>
        <v>0</v>
      </c>
      <c r="N4" s="22"/>
      <c r="O4" s="84" t="s">
        <v>97</v>
      </c>
      <c r="P4" s="81" t="s">
        <v>146</v>
      </c>
    </row>
    <row r="5" spans="1:29" x14ac:dyDescent="0.25">
      <c r="A5" t="str">
        <f>ENCAISSEMENTS!A5</f>
        <v>oui</v>
      </c>
      <c r="B5" s="1" t="str">
        <f>ENCAISSEMENTS!B5</f>
        <v>INSTALL 2</v>
      </c>
      <c r="C5" s="31"/>
      <c r="D5" s="32"/>
      <c r="E5" s="29"/>
      <c r="F5" s="29"/>
      <c r="G5" s="29"/>
      <c r="H5" s="29"/>
      <c r="I5" s="29"/>
      <c r="J5" s="29"/>
      <c r="K5" s="29"/>
      <c r="L5" s="29"/>
      <c r="M5" s="24">
        <f t="shared" ref="M5:M23" si="0">SUM(C5:L5)</f>
        <v>0</v>
      </c>
      <c r="N5" s="22"/>
      <c r="O5" s="85"/>
      <c r="P5" s="82" t="s">
        <v>148</v>
      </c>
    </row>
    <row r="6" spans="1:29" ht="15.75" x14ac:dyDescent="0.25">
      <c r="A6" t="str">
        <f>ENCAISSEMENTS!A6</f>
        <v>oui</v>
      </c>
      <c r="B6" s="1" t="str">
        <f>ENCAISSEMENTS!B6</f>
        <v>INSTALL 3</v>
      </c>
      <c r="C6" s="31"/>
      <c r="D6" s="32"/>
      <c r="E6" s="29"/>
      <c r="F6" s="29"/>
      <c r="G6" s="29"/>
      <c r="H6" s="29"/>
      <c r="I6" s="29"/>
      <c r="J6" s="29"/>
      <c r="K6" s="29"/>
      <c r="L6" s="29"/>
      <c r="M6" s="24">
        <f t="shared" si="0"/>
        <v>0</v>
      </c>
      <c r="N6" s="22"/>
      <c r="O6" s="84" t="s">
        <v>53</v>
      </c>
      <c r="P6" s="81" t="s">
        <v>147</v>
      </c>
    </row>
    <row r="7" spans="1:29" ht="14.45" customHeight="1" x14ac:dyDescent="0.25">
      <c r="A7" t="str">
        <f>ENCAISSEMENTS!A7</f>
        <v>oui</v>
      </c>
      <c r="B7" s="1" t="str">
        <f>ENCAISSEMENTS!B7</f>
        <v>INSTALL 4</v>
      </c>
      <c r="C7" s="31"/>
      <c r="D7" s="32"/>
      <c r="E7" s="29"/>
      <c r="F7" s="29"/>
      <c r="G7" s="29"/>
      <c r="H7" s="29"/>
      <c r="I7" s="29"/>
      <c r="J7" s="29"/>
      <c r="K7" s="29"/>
      <c r="L7" s="29"/>
      <c r="M7" s="24">
        <f t="shared" si="0"/>
        <v>0</v>
      </c>
      <c r="N7" s="22"/>
      <c r="O7" s="85"/>
      <c r="P7" s="82" t="s">
        <v>160</v>
      </c>
    </row>
    <row r="8" spans="1:29" ht="15" customHeight="1" x14ac:dyDescent="0.25">
      <c r="A8" t="str">
        <f>ENCAISSEMENTS!A8</f>
        <v>oui</v>
      </c>
      <c r="B8" s="1" t="str">
        <f>ENCAISSEMENTS!B8</f>
        <v>INSTALL 5</v>
      </c>
      <c r="C8" s="31"/>
      <c r="D8" s="32"/>
      <c r="E8" s="29"/>
      <c r="F8" s="29"/>
      <c r="G8" s="29"/>
      <c r="H8" s="29"/>
      <c r="I8" s="29"/>
      <c r="J8" s="29"/>
      <c r="K8" s="29"/>
      <c r="L8" s="29"/>
      <c r="M8" s="24">
        <f t="shared" si="0"/>
        <v>0</v>
      </c>
      <c r="N8" s="22"/>
      <c r="O8" s="84" t="s">
        <v>54</v>
      </c>
      <c r="P8" s="81" t="s">
        <v>103</v>
      </c>
    </row>
    <row r="9" spans="1:29" x14ac:dyDescent="0.25">
      <c r="A9" t="str">
        <f>ENCAISSEMENTS!A9</f>
        <v>oui</v>
      </c>
      <c r="B9" s="1" t="str">
        <f>ENCAISSEMENTS!B9</f>
        <v>INSTALL 6</v>
      </c>
      <c r="C9" s="31"/>
      <c r="D9" s="32"/>
      <c r="E9" s="29"/>
      <c r="F9" s="29"/>
      <c r="G9" s="29"/>
      <c r="H9" s="29"/>
      <c r="I9" s="29"/>
      <c r="J9" s="29"/>
      <c r="K9" s="29"/>
      <c r="L9" s="29"/>
      <c r="M9" s="24">
        <f t="shared" si="0"/>
        <v>0</v>
      </c>
      <c r="N9" s="22"/>
      <c r="O9" s="85"/>
      <c r="P9" s="82" t="s">
        <v>104</v>
      </c>
    </row>
    <row r="10" spans="1:29" ht="15.75" x14ac:dyDescent="0.25">
      <c r="A10" t="str">
        <f>ENCAISSEMENTS!A10</f>
        <v>oui</v>
      </c>
      <c r="B10" s="1" t="str">
        <f>ENCAISSEMENTS!B10</f>
        <v>INSTALL 7</v>
      </c>
      <c r="C10" s="31"/>
      <c r="D10" s="32"/>
      <c r="E10" s="29"/>
      <c r="F10" s="29"/>
      <c r="G10" s="29"/>
      <c r="H10" s="29"/>
      <c r="I10" s="29"/>
      <c r="J10" s="29"/>
      <c r="K10" s="29"/>
      <c r="L10" s="29"/>
      <c r="M10" s="24">
        <f t="shared" si="0"/>
        <v>0</v>
      </c>
      <c r="N10" s="22"/>
      <c r="O10" s="84" t="s">
        <v>55</v>
      </c>
      <c r="P10" s="81" t="s">
        <v>149</v>
      </c>
    </row>
    <row r="11" spans="1:29" x14ac:dyDescent="0.25">
      <c r="A11" t="str">
        <f>ENCAISSEMENTS!A11</f>
        <v>oui</v>
      </c>
      <c r="B11" s="1" t="str">
        <f>ENCAISSEMENTS!B11</f>
        <v>INSTALL 8</v>
      </c>
      <c r="C11" s="31"/>
      <c r="D11" s="32"/>
      <c r="E11" s="29"/>
      <c r="F11" s="29"/>
      <c r="G11" s="29"/>
      <c r="H11" s="29"/>
      <c r="I11" s="29"/>
      <c r="J11" s="29"/>
      <c r="K11" s="29"/>
      <c r="L11" s="29"/>
      <c r="M11" s="24">
        <f t="shared" si="0"/>
        <v>0</v>
      </c>
      <c r="N11" s="22"/>
      <c r="O11" s="85"/>
      <c r="P11" s="82" t="s">
        <v>105</v>
      </c>
    </row>
    <row r="12" spans="1:29" ht="15.75" x14ac:dyDescent="0.25">
      <c r="A12" t="str">
        <f>ENCAISSEMENTS!A12</f>
        <v>oui</v>
      </c>
      <c r="B12" s="1" t="str">
        <f>ENCAISSEMENTS!B12</f>
        <v>INSTALL 9</v>
      </c>
      <c r="C12" s="31"/>
      <c r="D12" s="32"/>
      <c r="E12" s="29"/>
      <c r="F12" s="29"/>
      <c r="G12" s="29"/>
      <c r="H12" s="29"/>
      <c r="I12" s="29"/>
      <c r="J12" s="29"/>
      <c r="K12" s="29"/>
      <c r="L12" s="29"/>
      <c r="M12" s="24">
        <f t="shared" si="0"/>
        <v>0</v>
      </c>
      <c r="N12" s="22"/>
      <c r="O12" s="84" t="s">
        <v>56</v>
      </c>
      <c r="P12" s="81" t="s">
        <v>106</v>
      </c>
    </row>
    <row r="13" spans="1:29" x14ac:dyDescent="0.25">
      <c r="A13" t="str">
        <f>ENCAISSEMENTS!A13</f>
        <v>oui</v>
      </c>
      <c r="B13" s="1" t="str">
        <f>ENCAISSEMENTS!B13</f>
        <v>INSTALL 10</v>
      </c>
      <c r="C13" s="31"/>
      <c r="D13" s="32"/>
      <c r="E13" s="29"/>
      <c r="F13" s="29"/>
      <c r="G13" s="29"/>
      <c r="H13" s="29"/>
      <c r="I13" s="29"/>
      <c r="J13" s="29"/>
      <c r="K13" s="29"/>
      <c r="L13" s="29"/>
      <c r="M13" s="24">
        <f t="shared" si="0"/>
        <v>0</v>
      </c>
      <c r="N13" s="22"/>
      <c r="O13" s="85"/>
      <c r="P13" s="82" t="s">
        <v>193</v>
      </c>
    </row>
    <row r="14" spans="1:29" ht="14.45" customHeight="1" x14ac:dyDescent="0.25">
      <c r="A14" t="str">
        <f>ENCAISSEMENTS!A14</f>
        <v>oui</v>
      </c>
      <c r="B14" s="1" t="str">
        <f>ENCAISSEMENTS!B14</f>
        <v>INSTALL 11</v>
      </c>
      <c r="C14" s="31"/>
      <c r="D14" s="32"/>
      <c r="E14" s="29"/>
      <c r="F14" s="29"/>
      <c r="G14" s="29"/>
      <c r="H14" s="29"/>
      <c r="I14" s="29"/>
      <c r="J14" s="29"/>
      <c r="K14" s="29"/>
      <c r="L14" s="29"/>
      <c r="M14" s="24">
        <f t="shared" si="0"/>
        <v>0</v>
      </c>
      <c r="N14" s="22"/>
      <c r="O14" s="84" t="s">
        <v>57</v>
      </c>
      <c r="P14" s="83" t="s">
        <v>186</v>
      </c>
    </row>
    <row r="15" spans="1:29" ht="15" customHeight="1" x14ac:dyDescent="0.25">
      <c r="A15" t="str">
        <f>ENCAISSEMENTS!A15</f>
        <v>oui</v>
      </c>
      <c r="B15" s="1" t="str">
        <f>ENCAISSEMENTS!B15</f>
        <v>INSTALL 12</v>
      </c>
      <c r="C15" s="31"/>
      <c r="D15" s="32"/>
      <c r="E15" s="29"/>
      <c r="F15" s="29"/>
      <c r="G15" s="29"/>
      <c r="H15" s="29"/>
      <c r="I15" s="29"/>
      <c r="J15" s="29"/>
      <c r="K15" s="29"/>
      <c r="L15" s="29"/>
      <c r="M15" s="24">
        <f t="shared" si="0"/>
        <v>0</v>
      </c>
      <c r="N15" s="22"/>
      <c r="O15" s="85"/>
      <c r="P15" s="82" t="s">
        <v>199</v>
      </c>
    </row>
    <row r="16" spans="1:29" ht="15.75" x14ac:dyDescent="0.25">
      <c r="A16" t="str">
        <f>ENCAISSEMENTS!A16</f>
        <v>oui</v>
      </c>
      <c r="B16" s="1" t="str">
        <f>ENCAISSEMENTS!B16</f>
        <v>INSTALL 13</v>
      </c>
      <c r="C16" s="31"/>
      <c r="D16" s="32"/>
      <c r="E16" s="29"/>
      <c r="F16" s="29"/>
      <c r="G16" s="29"/>
      <c r="H16" s="29"/>
      <c r="I16" s="29"/>
      <c r="J16" s="29"/>
      <c r="K16" s="29"/>
      <c r="L16" s="29"/>
      <c r="M16" s="24">
        <f t="shared" si="0"/>
        <v>0</v>
      </c>
      <c r="N16" s="22"/>
      <c r="O16" s="84" t="s">
        <v>66</v>
      </c>
      <c r="P16" s="81" t="s">
        <v>150</v>
      </c>
    </row>
    <row r="17" spans="1:16" ht="15" customHeight="1" x14ac:dyDescent="0.25">
      <c r="A17" t="str">
        <f>ENCAISSEMENTS!A17</f>
        <v>oui</v>
      </c>
      <c r="B17" s="1" t="str">
        <f>ENCAISSEMENTS!B17</f>
        <v>INSTALL 14</v>
      </c>
      <c r="C17" s="31"/>
      <c r="D17" s="32"/>
      <c r="E17" s="29"/>
      <c r="F17" s="29"/>
      <c r="G17" s="29"/>
      <c r="H17" s="29"/>
      <c r="I17" s="29"/>
      <c r="J17" s="29"/>
      <c r="K17" s="29"/>
      <c r="L17" s="29"/>
      <c r="M17" s="24">
        <f t="shared" si="0"/>
        <v>0</v>
      </c>
      <c r="N17" s="22"/>
      <c r="O17" s="87"/>
      <c r="P17" s="83" t="s">
        <v>161</v>
      </c>
    </row>
    <row r="18" spans="1:16" ht="15.75" x14ac:dyDescent="0.25">
      <c r="A18" t="str">
        <f>ENCAISSEMENTS!A18</f>
        <v>oui</v>
      </c>
      <c r="B18" s="1" t="str">
        <f>ENCAISSEMENTS!B18</f>
        <v>INSTALL 15</v>
      </c>
      <c r="C18" s="31"/>
      <c r="D18" s="32"/>
      <c r="E18" s="29"/>
      <c r="F18" s="29"/>
      <c r="G18" s="29"/>
      <c r="H18" s="29"/>
      <c r="I18" s="29"/>
      <c r="J18" s="29"/>
      <c r="K18" s="29"/>
      <c r="L18" s="29"/>
      <c r="M18" s="24">
        <f t="shared" si="0"/>
        <v>0</v>
      </c>
      <c r="N18" s="22"/>
      <c r="O18" s="84" t="s">
        <v>108</v>
      </c>
      <c r="P18" s="81" t="s">
        <v>109</v>
      </c>
    </row>
    <row r="19" spans="1:16" x14ac:dyDescent="0.25">
      <c r="A19" t="str">
        <f>ENCAISSEMENTS!A19</f>
        <v>oui</v>
      </c>
      <c r="B19" s="1" t="str">
        <f>ENCAISSEMENTS!B19</f>
        <v>INSTALL 16</v>
      </c>
      <c r="C19" s="31"/>
      <c r="D19" s="32"/>
      <c r="E19" s="29"/>
      <c r="F19" s="29"/>
      <c r="G19" s="29"/>
      <c r="H19" s="29"/>
      <c r="I19" s="29"/>
      <c r="J19" s="29"/>
      <c r="K19" s="29"/>
      <c r="L19" s="29"/>
      <c r="M19" s="24">
        <f t="shared" si="0"/>
        <v>0</v>
      </c>
      <c r="N19" s="22"/>
      <c r="O19" s="86"/>
      <c r="P19" s="82" t="s">
        <v>107</v>
      </c>
    </row>
    <row r="20" spans="1:16" ht="15.75" x14ac:dyDescent="0.25">
      <c r="A20" t="str">
        <f>ENCAISSEMENTS!A20</f>
        <v>oui</v>
      </c>
      <c r="B20" s="1" t="str">
        <f>ENCAISSEMENTS!B20</f>
        <v>INSTALL 17</v>
      </c>
      <c r="C20" s="31"/>
      <c r="D20" s="32"/>
      <c r="E20" s="29"/>
      <c r="F20" s="29"/>
      <c r="G20" s="29"/>
      <c r="H20" s="29"/>
      <c r="I20" s="29"/>
      <c r="J20" s="29"/>
      <c r="K20" s="29"/>
      <c r="L20" s="29"/>
      <c r="M20" s="24">
        <f t="shared" si="0"/>
        <v>0</v>
      </c>
      <c r="N20" s="22"/>
      <c r="O20" s="84" t="s">
        <v>187</v>
      </c>
      <c r="P20" s="81" t="s">
        <v>188</v>
      </c>
    </row>
    <row r="21" spans="1:16" x14ac:dyDescent="0.25">
      <c r="A21" t="str">
        <f>ENCAISSEMENTS!A21</f>
        <v>oui</v>
      </c>
      <c r="B21" s="1" t="str">
        <f>ENCAISSEMENTS!B21</f>
        <v>INSTALL 18</v>
      </c>
      <c r="C21" s="31"/>
      <c r="D21" s="32"/>
      <c r="E21" s="29"/>
      <c r="F21" s="29"/>
      <c r="G21" s="29"/>
      <c r="H21" s="29"/>
      <c r="I21" s="29"/>
      <c r="J21" s="29"/>
      <c r="K21" s="29"/>
      <c r="L21" s="29"/>
      <c r="M21" s="24">
        <f t="shared" si="0"/>
        <v>0</v>
      </c>
      <c r="N21" s="22"/>
      <c r="O21" s="86"/>
      <c r="P21" s="82" t="s">
        <v>189</v>
      </c>
    </row>
    <row r="22" spans="1:16" x14ac:dyDescent="0.25">
      <c r="A22" t="str">
        <f>ENCAISSEMENTS!A22</f>
        <v>oui</v>
      </c>
      <c r="B22" s="1" t="str">
        <f>ENCAISSEMENTS!B22</f>
        <v>INSTALL 19</v>
      </c>
      <c r="C22" s="31"/>
      <c r="D22" s="32"/>
      <c r="E22" s="29"/>
      <c r="F22" s="29"/>
      <c r="G22" s="29"/>
      <c r="H22" s="29"/>
      <c r="I22" s="29"/>
      <c r="J22" s="29"/>
      <c r="K22" s="29"/>
      <c r="L22" s="29"/>
      <c r="M22" s="24">
        <f t="shared" si="0"/>
        <v>0</v>
      </c>
      <c r="N22" s="22"/>
    </row>
    <row r="23" spans="1:16" ht="14.45" customHeight="1" thickBot="1" x14ac:dyDescent="0.3">
      <c r="A23" t="str">
        <f>ENCAISSEMENTS!A23</f>
        <v>oui</v>
      </c>
      <c r="B23" s="1" t="str">
        <f>ENCAISSEMENTS!B23</f>
        <v>INSTALL 20</v>
      </c>
      <c r="C23" s="31"/>
      <c r="D23" s="32"/>
      <c r="E23" s="29"/>
      <c r="F23" s="29"/>
      <c r="G23" s="29"/>
      <c r="H23" s="29"/>
      <c r="I23" s="29"/>
      <c r="J23" s="29"/>
      <c r="K23" s="29"/>
      <c r="L23" s="29"/>
      <c r="M23" s="24">
        <f t="shared" si="0"/>
        <v>0</v>
      </c>
      <c r="N23" s="22"/>
    </row>
    <row r="24" spans="1:16" ht="19.5" thickBot="1" x14ac:dyDescent="0.35">
      <c r="A24" s="179" t="s">
        <v>137</v>
      </c>
      <c r="B24" s="180"/>
      <c r="C24" s="128">
        <f>SUMPRODUCT(C4:C23,ENCAISSEMENTS!$N$4:$N$23)</f>
        <v>0</v>
      </c>
      <c r="D24" s="128">
        <f>SUMPRODUCT(D4:D23,ENCAISSEMENTS!$N$4:$N$23)</f>
        <v>0</v>
      </c>
      <c r="E24" s="128">
        <f>SUMPRODUCT(E4:E23,ENCAISSEMENTS!$N$4:$N$23)</f>
        <v>0</v>
      </c>
      <c r="F24" s="128">
        <f>SUMPRODUCT(F4:F23,ENCAISSEMENTS!$N$4:$N$23)</f>
        <v>0</v>
      </c>
      <c r="G24" s="128">
        <f>SUMPRODUCT(G4:G23,ENCAISSEMENTS!$N$4:$N$23)</f>
        <v>0</v>
      </c>
      <c r="H24" s="128">
        <f>SUMPRODUCT(H4:H23,ENCAISSEMENTS!$N$4:$N$23)</f>
        <v>0</v>
      </c>
      <c r="I24" s="128">
        <f>SUMPRODUCT(I4:I23,ENCAISSEMENTS!$N$4:$N$23)</f>
        <v>0</v>
      </c>
      <c r="J24" s="128">
        <f>SUMPRODUCT(J4:J23,ENCAISSEMENTS!$N$4:$N$23)</f>
        <v>0</v>
      </c>
      <c r="K24" s="128">
        <f>SUMPRODUCT(K4:K23,ENCAISSEMENTS!$N$4:$N$23)</f>
        <v>0</v>
      </c>
      <c r="L24" s="128">
        <f>SUMPRODUCT(L4:L23,ENCAISSEMENTS!$N$4:$N$23)</f>
        <v>0</v>
      </c>
      <c r="M24" s="129">
        <f>SUM(C24:L24)</f>
        <v>0</v>
      </c>
    </row>
    <row r="27" spans="1:16" ht="26.25" x14ac:dyDescent="0.4">
      <c r="B27" s="178" t="s">
        <v>99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O27" s="127" t="s">
        <v>102</v>
      </c>
      <c r="P27" s="98"/>
    </row>
    <row r="29" spans="1:16" ht="47.25" x14ac:dyDescent="0.25">
      <c r="C29" s="141"/>
      <c r="D29" s="140" t="s">
        <v>168</v>
      </c>
      <c r="E29" s="14" t="s">
        <v>170</v>
      </c>
      <c r="F29" s="92" t="s">
        <v>171</v>
      </c>
      <c r="G29" s="92" t="s">
        <v>169</v>
      </c>
      <c r="H29" s="135" t="s">
        <v>37</v>
      </c>
      <c r="I29" s="136"/>
      <c r="J29" s="136"/>
      <c r="K29" s="136"/>
      <c r="O29" s="84" t="s">
        <v>67</v>
      </c>
      <c r="P29" s="81" t="s">
        <v>163</v>
      </c>
    </row>
    <row r="30" spans="1:16" ht="18.75" x14ac:dyDescent="0.3">
      <c r="B30" s="181" t="s">
        <v>172</v>
      </c>
      <c r="C30" s="182"/>
      <c r="D30" s="29">
        <v>1500</v>
      </c>
      <c r="E30" s="29">
        <v>250</v>
      </c>
      <c r="F30" s="29">
        <v>45</v>
      </c>
      <c r="G30" s="33">
        <v>500</v>
      </c>
      <c r="H30" s="139">
        <f>SUM(D30:G30)</f>
        <v>2295</v>
      </c>
      <c r="I30" s="137"/>
      <c r="J30" s="137"/>
      <c r="K30" s="138"/>
      <c r="O30" s="85"/>
      <c r="P30" s="82" t="s">
        <v>197</v>
      </c>
    </row>
    <row r="31" spans="1:16" ht="15.75" x14ac:dyDescent="0.25">
      <c r="O31" s="84" t="s">
        <v>113</v>
      </c>
      <c r="P31" s="81" t="s">
        <v>117</v>
      </c>
    </row>
    <row r="32" spans="1:16" x14ac:dyDescent="0.25">
      <c r="O32" s="85"/>
      <c r="P32" s="82" t="s">
        <v>198</v>
      </c>
    </row>
    <row r="33" spans="1:22" s="11" customFormat="1" ht="31.5" x14ac:dyDescent="0.25">
      <c r="A33"/>
      <c r="C33" s="14" t="s">
        <v>58</v>
      </c>
      <c r="D33" s="14" t="s">
        <v>59</v>
      </c>
      <c r="E33" s="14" t="s">
        <v>60</v>
      </c>
      <c r="F33" s="92" t="s">
        <v>61</v>
      </c>
      <c r="G33" s="14" t="s">
        <v>36</v>
      </c>
      <c r="H33" s="14" t="s">
        <v>166</v>
      </c>
      <c r="I33" s="14" t="s">
        <v>57</v>
      </c>
      <c r="J33" s="14" t="s">
        <v>167</v>
      </c>
      <c r="K33" s="25" t="s">
        <v>37</v>
      </c>
      <c r="N33"/>
      <c r="O33" s="84" t="s">
        <v>173</v>
      </c>
      <c r="P33" s="81" t="s">
        <v>174</v>
      </c>
      <c r="Q33"/>
      <c r="R33"/>
      <c r="S33"/>
      <c r="T33"/>
      <c r="U33"/>
      <c r="V33"/>
    </row>
    <row r="34" spans="1:22" ht="15.75" x14ac:dyDescent="0.25">
      <c r="A34" t="str">
        <f>ENCAISSEMENTS!A4</f>
        <v>oui</v>
      </c>
      <c r="B34" s="1" t="str">
        <f>ENCAISSEMENTS!B4</f>
        <v>INSTALL 1</v>
      </c>
      <c r="C34" s="13">
        <f>ENCAISSEMENTS!C4</f>
        <v>0</v>
      </c>
      <c r="D34" s="29"/>
      <c r="E34" s="29"/>
      <c r="F34" s="29"/>
      <c r="G34" s="146" t="str">
        <f>IF(ENCAISSEMENTS!D4&gt;250,737.76,IF(ENCAISSEMENTS!D4&gt;36,447.78,IF(ENCAISSEMENTS!D4&gt;0,33.6,"")))</f>
        <v/>
      </c>
      <c r="H34" s="146" t="str">
        <f>IF(ENCAISSEMENTS!D4&gt;100,3.206*ENCAISSEMENTS!D4,"")</f>
        <v/>
      </c>
      <c r="I34" s="33"/>
      <c r="J34" s="33"/>
      <c r="K34" s="99">
        <f>SUM(D34:J34)</f>
        <v>0</v>
      </c>
      <c r="O34" s="144" t="s">
        <v>114</v>
      </c>
      <c r="P34" s="145" t="s">
        <v>164</v>
      </c>
    </row>
    <row r="35" spans="1:22" ht="15.75" x14ac:dyDescent="0.25">
      <c r="A35" t="str">
        <f>ENCAISSEMENTS!A5</f>
        <v>oui</v>
      </c>
      <c r="B35" s="1" t="str">
        <f>ENCAISSEMENTS!B5</f>
        <v>INSTALL 2</v>
      </c>
      <c r="C35" s="13">
        <f>ENCAISSEMENTS!C5</f>
        <v>0</v>
      </c>
      <c r="D35" s="29"/>
      <c r="E35" s="29"/>
      <c r="F35" s="29"/>
      <c r="G35" s="146" t="str">
        <f>IF(ENCAISSEMENTS!D5&gt;250,737.76,IF(ENCAISSEMENTS!D5&gt;36,447.78,IF(ENCAISSEMENTS!D5&gt;0,33.6,"")))</f>
        <v/>
      </c>
      <c r="H35" s="146" t="str">
        <f>IF(ENCAISSEMENTS!D5&gt;100,3.206*ENCAISSEMENTS!D5,"")</f>
        <v/>
      </c>
      <c r="I35" s="33"/>
      <c r="J35" s="33"/>
      <c r="K35" s="99">
        <f t="shared" ref="K35:K53" si="1">SUM(D35:J35)</f>
        <v>0</v>
      </c>
    </row>
    <row r="36" spans="1:22" ht="15.75" x14ac:dyDescent="0.25">
      <c r="A36" t="str">
        <f>ENCAISSEMENTS!A6</f>
        <v>oui</v>
      </c>
      <c r="B36" s="1" t="str">
        <f>ENCAISSEMENTS!B6</f>
        <v>INSTALL 3</v>
      </c>
      <c r="C36" s="13">
        <f>ENCAISSEMENTS!C6</f>
        <v>0</v>
      </c>
      <c r="D36" s="29"/>
      <c r="E36" s="29"/>
      <c r="F36" s="29"/>
      <c r="G36" s="146" t="str">
        <f>IF(ENCAISSEMENTS!D6&gt;250,737.76,IF(ENCAISSEMENTS!D6&gt;36,447.78,IF(ENCAISSEMENTS!D6&gt;0,33.6,"")))</f>
        <v/>
      </c>
      <c r="H36" s="146" t="str">
        <f>IF(ENCAISSEMENTS!D6&gt;100,3.206*ENCAISSEMENTS!D6,"")</f>
        <v/>
      </c>
      <c r="I36" s="33"/>
      <c r="J36" s="33"/>
      <c r="K36" s="99">
        <f>SUM(D36:J36)</f>
        <v>0</v>
      </c>
      <c r="O36" s="143"/>
      <c r="P36" s="82"/>
    </row>
    <row r="37" spans="1:22" ht="15.75" x14ac:dyDescent="0.25">
      <c r="A37" t="str">
        <f>ENCAISSEMENTS!A7</f>
        <v>oui</v>
      </c>
      <c r="B37" s="1" t="str">
        <f>ENCAISSEMENTS!B7</f>
        <v>INSTALL 4</v>
      </c>
      <c r="C37" s="13">
        <f>ENCAISSEMENTS!C7</f>
        <v>0</v>
      </c>
      <c r="D37" s="29"/>
      <c r="E37" s="29"/>
      <c r="F37" s="29"/>
      <c r="G37" s="146" t="str">
        <f>IF(ENCAISSEMENTS!D7&gt;250,737.76,IF(ENCAISSEMENTS!D7&gt;36,447.78,IF(ENCAISSEMENTS!D7&gt;0,33.6,"")))</f>
        <v/>
      </c>
      <c r="H37" s="146" t="str">
        <f>IF(ENCAISSEMENTS!D7&gt;100,3.206*ENCAISSEMENTS!D7,"")</f>
        <v/>
      </c>
      <c r="I37" s="33"/>
      <c r="J37" s="33"/>
      <c r="K37" s="99">
        <f t="shared" si="1"/>
        <v>0</v>
      </c>
      <c r="O37" s="142" t="s">
        <v>110</v>
      </c>
      <c r="P37" s="81" t="s">
        <v>115</v>
      </c>
    </row>
    <row r="38" spans="1:22" ht="15.75" x14ac:dyDescent="0.25">
      <c r="A38" t="str">
        <f>ENCAISSEMENTS!A8</f>
        <v>oui</v>
      </c>
      <c r="B38" s="1" t="str">
        <f>ENCAISSEMENTS!B8</f>
        <v>INSTALL 5</v>
      </c>
      <c r="C38" s="13">
        <f>ENCAISSEMENTS!C8</f>
        <v>0</v>
      </c>
      <c r="D38" s="29"/>
      <c r="E38" s="29"/>
      <c r="F38" s="29"/>
      <c r="G38" s="146" t="str">
        <f>IF(ENCAISSEMENTS!D8&gt;250,737.76,IF(ENCAISSEMENTS!D8&gt;36,447.78,IF(ENCAISSEMENTS!D8&gt;0,33.6,"")))</f>
        <v/>
      </c>
      <c r="H38" s="146" t="str">
        <f>IF(ENCAISSEMENTS!D8&gt;100,3.206*ENCAISSEMENTS!D8,"")</f>
        <v/>
      </c>
      <c r="I38" s="33"/>
      <c r="J38" s="33"/>
      <c r="K38" s="99">
        <f t="shared" si="1"/>
        <v>0</v>
      </c>
      <c r="O38" s="87"/>
      <c r="P38" s="83" t="s">
        <v>191</v>
      </c>
    </row>
    <row r="39" spans="1:22" ht="15.75" x14ac:dyDescent="0.25">
      <c r="A39" t="str">
        <f>ENCAISSEMENTS!A9</f>
        <v>oui</v>
      </c>
      <c r="B39" s="1" t="str">
        <f>ENCAISSEMENTS!B9</f>
        <v>INSTALL 6</v>
      </c>
      <c r="C39" s="13">
        <f>ENCAISSEMENTS!C9</f>
        <v>0</v>
      </c>
      <c r="D39" s="29"/>
      <c r="E39" s="29"/>
      <c r="F39" s="29"/>
      <c r="G39" s="146" t="str">
        <f>IF(ENCAISSEMENTS!D9&gt;250,737.76,IF(ENCAISSEMENTS!D9&gt;36,447.78,IF(ENCAISSEMENTS!D9&gt;0,33.6,"")))</f>
        <v/>
      </c>
      <c r="H39" s="146" t="str">
        <f>IF(ENCAISSEMENTS!D9&gt;100,3.206*ENCAISSEMENTS!D9,"")</f>
        <v/>
      </c>
      <c r="I39" s="33"/>
      <c r="J39" s="33"/>
      <c r="K39" s="99">
        <f t="shared" si="1"/>
        <v>0</v>
      </c>
      <c r="O39" s="84" t="s">
        <v>111</v>
      </c>
      <c r="P39" s="81" t="s">
        <v>162</v>
      </c>
    </row>
    <row r="40" spans="1:22" ht="15.75" x14ac:dyDescent="0.25">
      <c r="A40" t="str">
        <f>ENCAISSEMENTS!A10</f>
        <v>oui</v>
      </c>
      <c r="B40" s="1" t="str">
        <f>ENCAISSEMENTS!B10</f>
        <v>INSTALL 7</v>
      </c>
      <c r="C40" s="13">
        <f>ENCAISSEMENTS!C10</f>
        <v>0</v>
      </c>
      <c r="D40" s="29"/>
      <c r="E40" s="29"/>
      <c r="F40" s="29"/>
      <c r="G40" s="146" t="str">
        <f>IF(ENCAISSEMENTS!D10&gt;250,737.76,IF(ENCAISSEMENTS!D10&gt;36,447.78,IF(ENCAISSEMENTS!D10&gt;0,33.6,"")))</f>
        <v/>
      </c>
      <c r="H40" s="146" t="str">
        <f>IF(ENCAISSEMENTS!D10&gt;100,3.206*ENCAISSEMENTS!D10,"")</f>
        <v/>
      </c>
      <c r="I40" s="33"/>
      <c r="J40" s="33"/>
      <c r="K40" s="99">
        <f t="shared" si="1"/>
        <v>0</v>
      </c>
      <c r="O40" s="87"/>
      <c r="P40" s="83" t="s">
        <v>165</v>
      </c>
    </row>
    <row r="41" spans="1:22" ht="15.75" x14ac:dyDescent="0.25">
      <c r="A41" t="str">
        <f>ENCAISSEMENTS!A11</f>
        <v>oui</v>
      </c>
      <c r="B41" s="1" t="str">
        <f>ENCAISSEMENTS!B11</f>
        <v>INSTALL 8</v>
      </c>
      <c r="C41" s="13">
        <f>ENCAISSEMENTS!C11</f>
        <v>0</v>
      </c>
      <c r="D41" s="29"/>
      <c r="E41" s="29"/>
      <c r="F41" s="29"/>
      <c r="G41" s="146" t="str">
        <f>IF(ENCAISSEMENTS!D11&gt;250,737.76,IF(ENCAISSEMENTS!D11&gt;36,447.78,IF(ENCAISSEMENTS!D11&gt;0,33.6,"")))</f>
        <v/>
      </c>
      <c r="H41" s="146" t="str">
        <f>IF(ENCAISSEMENTS!D11&gt;100,3.206*ENCAISSEMENTS!D11,"")</f>
        <v/>
      </c>
      <c r="I41" s="33"/>
      <c r="J41" s="33"/>
      <c r="K41" s="99">
        <f t="shared" si="1"/>
        <v>0</v>
      </c>
      <c r="O41" s="88"/>
      <c r="P41" s="83" t="s">
        <v>200</v>
      </c>
    </row>
    <row r="42" spans="1:22" ht="15.75" x14ac:dyDescent="0.25">
      <c r="A42" t="str">
        <f>ENCAISSEMENTS!A12</f>
        <v>oui</v>
      </c>
      <c r="B42" s="1" t="str">
        <f>ENCAISSEMENTS!B12</f>
        <v>INSTALL 9</v>
      </c>
      <c r="C42" s="13">
        <f>ENCAISSEMENTS!C12</f>
        <v>0</v>
      </c>
      <c r="D42" s="29"/>
      <c r="E42" s="29"/>
      <c r="F42" s="29"/>
      <c r="G42" s="146" t="str">
        <f>IF(ENCAISSEMENTS!D12&gt;250,737.76,IF(ENCAISSEMENTS!D12&gt;36,447.78,IF(ENCAISSEMENTS!D12&gt;0,33.6,"")))</f>
        <v/>
      </c>
      <c r="H42" s="146" t="str">
        <f>IF(ENCAISSEMENTS!D12&gt;100,3.206*ENCAISSEMENTS!D12,"")</f>
        <v/>
      </c>
      <c r="I42" s="33"/>
      <c r="J42" s="33"/>
      <c r="K42" s="99">
        <f t="shared" si="1"/>
        <v>0</v>
      </c>
      <c r="O42" s="88"/>
      <c r="P42" s="83" t="s">
        <v>201</v>
      </c>
    </row>
    <row r="43" spans="1:22" ht="15.75" x14ac:dyDescent="0.25">
      <c r="A43" t="str">
        <f>ENCAISSEMENTS!A13</f>
        <v>oui</v>
      </c>
      <c r="B43" s="1" t="str">
        <f>ENCAISSEMENTS!B13</f>
        <v>INSTALL 10</v>
      </c>
      <c r="C43" s="13">
        <f>ENCAISSEMENTS!C13</f>
        <v>0</v>
      </c>
      <c r="D43" s="29"/>
      <c r="E43" s="29"/>
      <c r="F43" s="29"/>
      <c r="G43" s="146" t="str">
        <f>IF(ENCAISSEMENTS!D13&gt;250,737.76,IF(ENCAISSEMENTS!D13&gt;36,447.78,IF(ENCAISSEMENTS!D13&gt;0,33.6,"")))</f>
        <v/>
      </c>
      <c r="H43" s="146" t="str">
        <f>IF(ENCAISSEMENTS!D13&gt;100,3.206*ENCAISSEMENTS!D13,"")</f>
        <v/>
      </c>
      <c r="I43" s="33"/>
      <c r="J43" s="33"/>
      <c r="K43" s="99">
        <f t="shared" si="1"/>
        <v>0</v>
      </c>
      <c r="O43" s="84" t="s">
        <v>112</v>
      </c>
      <c r="P43" s="81" t="s">
        <v>131</v>
      </c>
    </row>
    <row r="44" spans="1:22" ht="15.75" x14ac:dyDescent="0.25">
      <c r="A44" t="str">
        <f>ENCAISSEMENTS!A14</f>
        <v>oui</v>
      </c>
      <c r="B44" s="1" t="str">
        <f>ENCAISSEMENTS!B14</f>
        <v>INSTALL 11</v>
      </c>
      <c r="C44" s="13">
        <f>ENCAISSEMENTS!C14</f>
        <v>0</v>
      </c>
      <c r="D44" s="29"/>
      <c r="E44" s="29"/>
      <c r="F44" s="29"/>
      <c r="G44" s="146" t="str">
        <f>IF(ENCAISSEMENTS!D14&gt;250,737.76,IF(ENCAISSEMENTS!D14&gt;36,447.78,IF(ENCAISSEMENTS!D14&gt;0,33.6,"")))</f>
        <v/>
      </c>
      <c r="H44" s="146" t="str">
        <f>IF(ENCAISSEMENTS!D14&gt;100,3.206*ENCAISSEMENTS!D14,"")</f>
        <v/>
      </c>
      <c r="I44" s="33"/>
      <c r="J44" s="33"/>
      <c r="K44" s="99">
        <f t="shared" si="1"/>
        <v>0</v>
      </c>
      <c r="O44" s="85"/>
      <c r="P44" s="82" t="s">
        <v>202</v>
      </c>
    </row>
    <row r="45" spans="1:22" ht="15.75" x14ac:dyDescent="0.25">
      <c r="A45" t="str">
        <f>ENCAISSEMENTS!A15</f>
        <v>oui</v>
      </c>
      <c r="B45" s="1" t="str">
        <f>ENCAISSEMENTS!B15</f>
        <v>INSTALL 12</v>
      </c>
      <c r="C45" s="13">
        <f>ENCAISSEMENTS!C15</f>
        <v>0</v>
      </c>
      <c r="D45" s="29"/>
      <c r="E45" s="29"/>
      <c r="F45" s="29"/>
      <c r="G45" s="146" t="str">
        <f>IF(ENCAISSEMENTS!D15&gt;250,737.76,IF(ENCAISSEMENTS!D15&gt;36,447.78,IF(ENCAISSEMENTS!D15&gt;0,33.6,"")))</f>
        <v/>
      </c>
      <c r="H45" s="146" t="str">
        <f>IF(ENCAISSEMENTS!D15&gt;100,3.206*ENCAISSEMENTS!D15,"")</f>
        <v/>
      </c>
      <c r="I45" s="33"/>
      <c r="J45" s="33"/>
      <c r="K45" s="99">
        <f t="shared" si="1"/>
        <v>0</v>
      </c>
      <c r="O45" s="84" t="s">
        <v>36</v>
      </c>
      <c r="P45" s="81" t="s">
        <v>116</v>
      </c>
    </row>
    <row r="46" spans="1:22" ht="15.75" x14ac:dyDescent="0.25">
      <c r="A46" t="str">
        <f>ENCAISSEMENTS!A16</f>
        <v>oui</v>
      </c>
      <c r="B46" s="1" t="str">
        <f>ENCAISSEMENTS!B16</f>
        <v>INSTALL 13</v>
      </c>
      <c r="C46" s="13">
        <f>ENCAISSEMENTS!C16</f>
        <v>0</v>
      </c>
      <c r="D46" s="29"/>
      <c r="E46" s="29"/>
      <c r="F46" s="29"/>
      <c r="G46" s="146" t="str">
        <f>IF(ENCAISSEMENTS!D16&gt;250,737.76,IF(ENCAISSEMENTS!D16&gt;36,447.78,IF(ENCAISSEMENTS!D16&gt;0,33.6,"")))</f>
        <v/>
      </c>
      <c r="H46" s="146" t="str">
        <f>IF(ENCAISSEMENTS!D16&gt;100,3.206*ENCAISSEMENTS!D16,"")</f>
        <v/>
      </c>
      <c r="I46" s="33"/>
      <c r="J46" s="33"/>
      <c r="K46" s="99">
        <f t="shared" si="1"/>
        <v>0</v>
      </c>
      <c r="O46" s="85"/>
      <c r="P46" s="82" t="s">
        <v>195</v>
      </c>
    </row>
    <row r="47" spans="1:22" ht="15.75" x14ac:dyDescent="0.25">
      <c r="A47" t="str">
        <f>ENCAISSEMENTS!A17</f>
        <v>oui</v>
      </c>
      <c r="B47" s="1" t="str">
        <f>ENCAISSEMENTS!B17</f>
        <v>INSTALL 14</v>
      </c>
      <c r="C47" s="13">
        <f>ENCAISSEMENTS!C17</f>
        <v>0</v>
      </c>
      <c r="D47" s="29"/>
      <c r="E47" s="29"/>
      <c r="F47" s="29"/>
      <c r="G47" s="146" t="str">
        <f>IF(ENCAISSEMENTS!D17&gt;250,737.76,IF(ENCAISSEMENTS!D17&gt;36,447.78,IF(ENCAISSEMENTS!D17&gt;0,33.6,"")))</f>
        <v/>
      </c>
      <c r="H47" s="146" t="str">
        <f>IF(ENCAISSEMENTS!D17&gt;100,3.206*ENCAISSEMENTS!D17,"")</f>
        <v/>
      </c>
      <c r="I47" s="33"/>
      <c r="J47" s="33"/>
      <c r="K47" s="99">
        <f t="shared" si="1"/>
        <v>0</v>
      </c>
      <c r="O47" s="84" t="s">
        <v>166</v>
      </c>
      <c r="P47" s="81" t="s">
        <v>204</v>
      </c>
    </row>
    <row r="48" spans="1:22" ht="15.75" x14ac:dyDescent="0.25">
      <c r="A48" t="str">
        <f>ENCAISSEMENTS!A18</f>
        <v>oui</v>
      </c>
      <c r="B48" s="1" t="str">
        <f>ENCAISSEMENTS!B18</f>
        <v>INSTALL 15</v>
      </c>
      <c r="C48" s="13">
        <f>ENCAISSEMENTS!C18</f>
        <v>0</v>
      </c>
      <c r="D48" s="29"/>
      <c r="E48" s="29"/>
      <c r="F48" s="29"/>
      <c r="G48" s="146" t="str">
        <f>IF(ENCAISSEMENTS!D18&gt;250,737.76,IF(ENCAISSEMENTS!D18&gt;36,447.78,IF(ENCAISSEMENTS!D18&gt;0,33.6,"")))</f>
        <v/>
      </c>
      <c r="H48" s="146" t="str">
        <f>IF(ENCAISSEMENTS!D18&gt;100,3.206*ENCAISSEMENTS!D18,"")</f>
        <v/>
      </c>
      <c r="I48" s="33"/>
      <c r="J48" s="33"/>
      <c r="K48" s="99">
        <f t="shared" si="1"/>
        <v>0</v>
      </c>
      <c r="O48" s="85"/>
      <c r="P48" s="82" t="s">
        <v>203</v>
      </c>
    </row>
    <row r="49" spans="1:17" ht="15.75" x14ac:dyDescent="0.25">
      <c r="A49" t="str">
        <f>ENCAISSEMENTS!A19</f>
        <v>oui</v>
      </c>
      <c r="B49" s="1" t="str">
        <f>ENCAISSEMENTS!B19</f>
        <v>INSTALL 16</v>
      </c>
      <c r="C49" s="13">
        <f>ENCAISSEMENTS!C19</f>
        <v>0</v>
      </c>
      <c r="D49" s="29"/>
      <c r="E49" s="29"/>
      <c r="F49" s="29"/>
      <c r="G49" s="146" t="str">
        <f>IF(ENCAISSEMENTS!D19&gt;250,737.76,IF(ENCAISSEMENTS!D19&gt;36,447.78,IF(ENCAISSEMENTS!D19&gt;0,33.6,"")))</f>
        <v/>
      </c>
      <c r="H49" s="146" t="str">
        <f>IF(ENCAISSEMENTS!D19&gt;100,3.206*ENCAISSEMENTS!D19,"")</f>
        <v/>
      </c>
      <c r="I49" s="33"/>
      <c r="J49" s="33"/>
      <c r="K49" s="99">
        <f t="shared" si="1"/>
        <v>0</v>
      </c>
      <c r="O49" s="84" t="s">
        <v>175</v>
      </c>
      <c r="P49" s="81" t="s">
        <v>176</v>
      </c>
    </row>
    <row r="50" spans="1:17" ht="15.75" x14ac:dyDescent="0.25">
      <c r="A50" t="str">
        <f>ENCAISSEMENTS!A20</f>
        <v>oui</v>
      </c>
      <c r="B50" s="1" t="str">
        <f>ENCAISSEMENTS!B20</f>
        <v>INSTALL 17</v>
      </c>
      <c r="C50" s="13">
        <f>ENCAISSEMENTS!C20</f>
        <v>0</v>
      </c>
      <c r="D50" s="29"/>
      <c r="E50" s="29"/>
      <c r="F50" s="29"/>
      <c r="G50" s="146" t="str">
        <f>IF(ENCAISSEMENTS!D20&gt;250,737.76,IF(ENCAISSEMENTS!D20&gt;36,447.78,IF(ENCAISSEMENTS!D20&gt;0,33.6,"")))</f>
        <v/>
      </c>
      <c r="H50" s="146" t="str">
        <f>IF(ENCAISSEMENTS!D20&gt;100,3.206*ENCAISSEMENTS!D20,"")</f>
        <v/>
      </c>
      <c r="I50" s="33"/>
      <c r="J50" s="33"/>
      <c r="K50" s="99">
        <f t="shared" si="1"/>
        <v>0</v>
      </c>
      <c r="O50" s="85"/>
      <c r="P50" s="82" t="s">
        <v>177</v>
      </c>
    </row>
    <row r="51" spans="1:17" ht="15.75" x14ac:dyDescent="0.25">
      <c r="A51" t="str">
        <f>ENCAISSEMENTS!A21</f>
        <v>oui</v>
      </c>
      <c r="B51" s="1" t="str">
        <f>ENCAISSEMENTS!B21</f>
        <v>INSTALL 18</v>
      </c>
      <c r="C51" s="13">
        <f>ENCAISSEMENTS!C21</f>
        <v>0</v>
      </c>
      <c r="D51" s="29"/>
      <c r="E51" s="29"/>
      <c r="F51" s="29"/>
      <c r="G51" s="146" t="str">
        <f>IF(ENCAISSEMENTS!D21&gt;250,737.76,IF(ENCAISSEMENTS!D21&gt;36,447.78,IF(ENCAISSEMENTS!D21&gt;0,33.6,"")))</f>
        <v/>
      </c>
      <c r="H51" s="146" t="str">
        <f>IF(ENCAISSEMENTS!D21&gt;100,3.206*ENCAISSEMENTS!D21,"")</f>
        <v/>
      </c>
      <c r="I51" s="33"/>
      <c r="J51" s="33"/>
      <c r="K51" s="99">
        <f t="shared" si="1"/>
        <v>0</v>
      </c>
      <c r="O51" s="84" t="s">
        <v>178</v>
      </c>
      <c r="P51" s="81" t="s">
        <v>179</v>
      </c>
    </row>
    <row r="52" spans="1:17" ht="15.75" x14ac:dyDescent="0.25">
      <c r="A52" t="str">
        <f>ENCAISSEMENTS!A22</f>
        <v>oui</v>
      </c>
      <c r="B52" s="1" t="str">
        <f>ENCAISSEMENTS!B22</f>
        <v>INSTALL 19</v>
      </c>
      <c r="C52" s="13">
        <f>ENCAISSEMENTS!C22</f>
        <v>0</v>
      </c>
      <c r="D52" s="29"/>
      <c r="E52" s="29"/>
      <c r="F52" s="29"/>
      <c r="G52" s="146" t="str">
        <f>IF(ENCAISSEMENTS!D22&gt;250,737.76,IF(ENCAISSEMENTS!D22&gt;36,447.78,IF(ENCAISSEMENTS!D22&gt;0,33.6,"")))</f>
        <v/>
      </c>
      <c r="H52" s="146" t="str">
        <f>IF(ENCAISSEMENTS!D22&gt;100,3.206*ENCAISSEMENTS!D22,"")</f>
        <v/>
      </c>
      <c r="I52" s="33"/>
      <c r="J52" s="33"/>
      <c r="K52" s="99">
        <f t="shared" si="1"/>
        <v>0</v>
      </c>
      <c r="O52" s="85"/>
      <c r="P52" s="82" t="s">
        <v>180</v>
      </c>
    </row>
    <row r="53" spans="1:17" ht="16.5" thickBot="1" x14ac:dyDescent="0.3">
      <c r="A53" t="str">
        <f>ENCAISSEMENTS!A23</f>
        <v>oui</v>
      </c>
      <c r="B53" s="1" t="str">
        <f>ENCAISSEMENTS!B23</f>
        <v>INSTALL 20</v>
      </c>
      <c r="C53" s="13">
        <f>ENCAISSEMENTS!C23</f>
        <v>0</v>
      </c>
      <c r="D53" s="29"/>
      <c r="E53" s="29"/>
      <c r="F53" s="29"/>
      <c r="G53" s="146" t="str">
        <f>IF(ENCAISSEMENTS!D23&gt;250,737.76,IF(ENCAISSEMENTS!D23&gt;36,447.78,IF(ENCAISSEMENTS!D23&gt;0,33.6,"")))</f>
        <v/>
      </c>
      <c r="H53" s="146" t="str">
        <f>IF(ENCAISSEMENTS!D23&gt;100,3.206*ENCAISSEMENTS!D23,"")</f>
        <v/>
      </c>
      <c r="I53" s="33"/>
      <c r="J53" s="33"/>
      <c r="K53" s="99">
        <f t="shared" si="1"/>
        <v>0</v>
      </c>
    </row>
    <row r="54" spans="1:17" ht="19.5" thickBot="1" x14ac:dyDescent="0.35">
      <c r="A54" s="179" t="s">
        <v>137</v>
      </c>
      <c r="B54" s="180"/>
      <c r="C54" s="128">
        <f>SUMPRODUCT(C34:C53,ENCAISSEMENTS!$N$4:$N$23)</f>
        <v>0</v>
      </c>
      <c r="D54" s="128">
        <f>SUMPRODUCT(D34:D53,ENCAISSEMENTS!$N$4:$N$23)</f>
        <v>0</v>
      </c>
      <c r="E54" s="128">
        <f>SUMPRODUCT(E34:E53,ENCAISSEMENTS!$N$4:$N$23)</f>
        <v>0</v>
      </c>
      <c r="F54" s="128">
        <f>SUMPRODUCT(F34:F53,ENCAISSEMENTS!$N$4:$N$23)</f>
        <v>0</v>
      </c>
      <c r="G54" s="128">
        <f>SUMPRODUCT(G34:G53,ENCAISSEMENTS!$N$4:$N$23)</f>
        <v>0</v>
      </c>
      <c r="H54" s="128">
        <f>SUMPRODUCT(H34:H53,ENCAISSEMENTS!$N$4:$N$23)</f>
        <v>0</v>
      </c>
      <c r="I54" s="128">
        <f>SUMPRODUCT(I34:I53,ENCAISSEMENTS!$N$4:$N$23)</f>
        <v>0</v>
      </c>
      <c r="J54" s="128">
        <f>SUMPRODUCT(J34:J53,ENCAISSEMENTS!$N$4:$N$23)</f>
        <v>0</v>
      </c>
      <c r="K54" s="131">
        <f>SUM(D54:J54)</f>
        <v>0</v>
      </c>
    </row>
    <row r="55" spans="1:17" x14ac:dyDescent="0.25">
      <c r="Q55" s="85"/>
    </row>
    <row r="56" spans="1:17" ht="26.25" x14ac:dyDescent="0.4">
      <c r="B56" s="178" t="s">
        <v>153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8" spans="1:17" x14ac:dyDescent="0.25">
      <c r="B58" s="1" t="s">
        <v>51</v>
      </c>
      <c r="C58" s="1" t="s">
        <v>101</v>
      </c>
      <c r="D58" s="12"/>
      <c r="E58" s="28"/>
      <c r="G58" t="s">
        <v>133</v>
      </c>
    </row>
    <row r="59" spans="1:17" x14ac:dyDescent="0.25">
      <c r="B59" s="1" t="s">
        <v>51</v>
      </c>
      <c r="C59" s="1" t="s">
        <v>39</v>
      </c>
      <c r="D59" s="12"/>
      <c r="E59" s="28"/>
      <c r="G59" t="s">
        <v>132</v>
      </c>
    </row>
    <row r="60" spans="1:17" x14ac:dyDescent="0.25">
      <c r="B60" s="1" t="s">
        <v>52</v>
      </c>
      <c r="C60" s="1" t="s">
        <v>50</v>
      </c>
      <c r="D60" s="12"/>
      <c r="E60" s="28"/>
      <c r="G60" t="s">
        <v>190</v>
      </c>
    </row>
    <row r="61" spans="1:17" x14ac:dyDescent="0.25">
      <c r="B61" s="1" t="s">
        <v>155</v>
      </c>
      <c r="C61" s="1" t="s">
        <v>154</v>
      </c>
      <c r="D61" s="12"/>
      <c r="E61" s="28"/>
      <c r="G61" t="s">
        <v>181</v>
      </c>
    </row>
  </sheetData>
  <mergeCells count="6">
    <mergeCell ref="B56:M56"/>
    <mergeCell ref="B27:M27"/>
    <mergeCell ref="B1:M1"/>
    <mergeCell ref="A54:B54"/>
    <mergeCell ref="A24:B24"/>
    <mergeCell ref="B30:C30"/>
  </mergeCells>
  <conditionalFormatting sqref="A1:A3 A25:A33 A55:A1048576">
    <cfRule type="cellIs" dxfId="4" priority="8" operator="equal">
      <formula>"oui"</formula>
    </cfRule>
  </conditionalFormatting>
  <conditionalFormatting sqref="A4:A23">
    <cfRule type="cellIs" dxfId="3" priority="3" operator="equal">
      <formula>"NON"</formula>
    </cfRule>
    <cfRule type="cellIs" dxfId="2" priority="4" operator="equal">
      <formula>"Oui"</formula>
    </cfRule>
  </conditionalFormatting>
  <conditionalFormatting sqref="A34:A53">
    <cfRule type="cellIs" dxfId="1" priority="1" operator="equal">
      <formula>"NON"</formula>
    </cfRule>
    <cfRule type="cellIs" dxfId="0" priority="2" operator="equal">
      <formula>"Oui"</formula>
    </cfRule>
  </conditionalFormatting>
  <printOptions horizontalCentered="1" verticalCentered="1"/>
  <pageMargins left="0.47244094488188981" right="0.39370078740157483" top="0.74803149606299213" bottom="0.74803149606299213" header="0.31496062992125984" footer="0.31496062992125984"/>
  <pageSetup paperSize="9" scale="54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SIG</vt:lpstr>
      <vt:lpstr>ENCAISSEMENTS</vt:lpstr>
      <vt:lpstr>DECAISSEMENTS</vt:lpstr>
      <vt:lpstr>index_tarif</vt:lpstr>
      <vt:lpstr>inflation</vt:lpstr>
      <vt:lpstr>perte_prod</vt:lpstr>
      <vt:lpstr>taux_actu</vt:lpstr>
      <vt:lpstr>ENCAISSEMENTS!Zone_d_impression</vt:lpstr>
      <vt:lpstr>SIG!Zone_d_impression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npoize</dc:creator>
  <cp:lastModifiedBy>Etienne Jouin</cp:lastModifiedBy>
  <cp:lastPrinted>2015-07-06T14:54:07Z</cp:lastPrinted>
  <dcterms:created xsi:type="dcterms:W3CDTF">2012-12-14T09:34:10Z</dcterms:created>
  <dcterms:modified xsi:type="dcterms:W3CDTF">2023-11-06T15:03:12Z</dcterms:modified>
</cp:coreProperties>
</file>