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C:\Users\etien\Desktop\Nextcloud AssoCV\AssoCV\5-OUTILS\1_EMERGENCE\"/>
    </mc:Choice>
  </mc:AlternateContent>
  <xr:revisionPtr revIDLastSave="0" documentId="13_ncr:1_{DFE6E82E-C260-4EC4-8481-08B7D3B3E2D4}" xr6:coauthVersionLast="47" xr6:coauthVersionMax="47" xr10:uidLastSave="{00000000-0000-0000-0000-000000000000}"/>
  <bookViews>
    <workbookView xWindow="-108" yWindow="-108" windowWidth="23256" windowHeight="12456" activeTab="2" xr2:uid="{00000000-000D-0000-FFFF-FFFF00000000}"/>
  </bookViews>
  <sheets>
    <sheet name="NOTE" sheetId="5" r:id="rId1"/>
    <sheet name="AIDE" sheetId="3" r:id="rId2"/>
    <sheet name="ANALYSE" sheetId="1" r:id="rId3"/>
    <sheet name="SIG" sheetId="2" r:id="rId4"/>
  </sheets>
  <definedNames>
    <definedName name="subvention">ANALYSE!$I$7</definedName>
    <definedName name="_xlnm.Print_Area" localSheetId="2">ANALYSE!$A$1:$J$30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 l="1"/>
  <c r="B17" i="1"/>
  <c r="E16" i="1"/>
  <c r="E15" i="1"/>
  <c r="E14" i="1"/>
  <c r="E18" i="1"/>
  <c r="E17" i="1"/>
  <c r="P32" i="1" l="1"/>
  <c r="P26" i="1"/>
  <c r="P27" i="1" s="1"/>
  <c r="P28" i="1" s="1"/>
  <c r="P29" i="1" s="1"/>
  <c r="P30" i="1" s="1"/>
  <c r="P31" i="1" s="1"/>
  <c r="C4" i="2"/>
  <c r="D4" i="2" s="1"/>
  <c r="B10" i="1"/>
  <c r="B15" i="1" s="1"/>
  <c r="C10" i="1"/>
  <c r="E21" i="1"/>
  <c r="M16" i="1"/>
  <c r="M17" i="1"/>
  <c r="R13" i="2" l="1"/>
  <c r="S13" i="2"/>
  <c r="T13" i="2"/>
  <c r="U13" i="2"/>
  <c r="V13" i="2"/>
  <c r="I22" i="1"/>
  <c r="P3" i="1"/>
  <c r="P4" i="1" s="1"/>
  <c r="P5" i="1" s="1"/>
  <c r="P6" i="1" s="1"/>
  <c r="P7" i="1" s="1"/>
  <c r="P8" i="1" s="1"/>
  <c r="P9" i="1" s="1"/>
  <c r="P10" i="1" s="1"/>
  <c r="P11" i="1" s="1"/>
  <c r="P12" i="1" s="1"/>
  <c r="P13" i="1" s="1"/>
  <c r="P14" i="1" s="1"/>
  <c r="P15" i="1" s="1"/>
  <c r="P16" i="1" s="1"/>
  <c r="P17" i="1" s="1"/>
  <c r="P18" i="1" s="1"/>
  <c r="P19" i="1" s="1"/>
  <c r="P20" i="1" s="1"/>
  <c r="P21" i="1" s="1"/>
  <c r="P22" i="1" s="1"/>
  <c r="P23" i="1" s="1"/>
  <c r="P24" i="1" s="1"/>
  <c r="P25" i="1" s="1"/>
  <c r="B21" i="1"/>
  <c r="F4" i="2"/>
  <c r="B24" i="2"/>
  <c r="M6" i="1"/>
  <c r="M7" i="1" s="1"/>
  <c r="M8" i="1" s="1"/>
  <c r="M9" i="1" s="1"/>
  <c r="M10" i="1" s="1"/>
  <c r="M11" i="1" s="1"/>
  <c r="M12" i="1" s="1"/>
  <c r="M13" i="1" s="1"/>
  <c r="M14" i="1" s="1"/>
  <c r="M15" i="1" s="1"/>
  <c r="R26" i="2"/>
  <c r="O6" i="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44" i="1"/>
  <c r="O45" i="1"/>
  <c r="O46" i="1" s="1"/>
  <c r="O47" i="1" s="1"/>
  <c r="O48" i="1" s="1"/>
  <c r="O49" i="1" s="1"/>
  <c r="O50" i="1" s="1"/>
  <c r="O51" i="1" s="1"/>
  <c r="O52" i="1" s="1"/>
  <c r="O53" i="1" s="1"/>
  <c r="O54" i="1" s="1"/>
  <c r="O55" i="1" s="1"/>
  <c r="R23" i="2"/>
  <c r="S23" i="2"/>
  <c r="T23" i="2"/>
  <c r="U23" i="2"/>
  <c r="V23" i="2"/>
  <c r="N6" i="1"/>
  <c r="N7" i="1" s="1"/>
  <c r="N8" i="1" s="1"/>
  <c r="N9" i="1" s="1"/>
  <c r="N10" i="1" s="1"/>
  <c r="N11" i="1" s="1"/>
  <c r="N12" i="1" s="1"/>
  <c r="N13" i="1" s="1"/>
  <c r="N14" i="1" s="1"/>
  <c r="N15" i="1" s="1"/>
  <c r="N16" i="1" s="1"/>
  <c r="N17" i="1" s="1"/>
  <c r="N18" i="1" s="1"/>
  <c r="N19" i="1" s="1"/>
  <c r="N20" i="1" s="1"/>
  <c r="N21" i="1" s="1"/>
  <c r="N22" i="1" s="1"/>
  <c r="N23" i="1" s="1"/>
  <c r="N24" i="1" s="1"/>
  <c r="N25" i="1" s="1"/>
  <c r="S26" i="2"/>
  <c r="T26" i="2"/>
  <c r="U26" i="2"/>
  <c r="V26" i="2"/>
  <c r="M4" i="2" l="1"/>
  <c r="C5" i="2"/>
  <c r="V5" i="2" s="1"/>
  <c r="J4" i="2"/>
  <c r="R4" i="2"/>
  <c r="H4" i="2"/>
  <c r="L4" i="2"/>
  <c r="T4" i="2"/>
  <c r="S4" i="2"/>
  <c r="E4" i="2"/>
  <c r="N4" i="2"/>
  <c r="V4" i="2"/>
  <c r="K4" i="2"/>
  <c r="I4" i="2"/>
  <c r="G4" i="2"/>
  <c r="P4" i="2"/>
  <c r="Q4" i="2"/>
  <c r="U4" i="2"/>
  <c r="O4" i="2"/>
  <c r="I13" i="1" l="1"/>
  <c r="H6" i="1"/>
  <c r="H7" i="1"/>
  <c r="N10" i="2"/>
  <c r="C10" i="2"/>
  <c r="B22" i="2"/>
  <c r="H10" i="2"/>
  <c r="E10" i="2"/>
  <c r="G10" i="2"/>
  <c r="F10" i="2"/>
  <c r="K10" i="2"/>
  <c r="P10" i="2"/>
  <c r="L10" i="2"/>
  <c r="V10" i="2"/>
  <c r="M10" i="2"/>
  <c r="I10" i="2"/>
  <c r="U10" i="2"/>
  <c r="J10" i="2"/>
  <c r="S10" i="2"/>
  <c r="T10" i="2"/>
  <c r="I14" i="1"/>
  <c r="I9" i="1" s="1"/>
  <c r="Q10" i="2"/>
  <c r="D10" i="2"/>
  <c r="O10" i="2"/>
  <c r="R10" i="2"/>
  <c r="G5" i="2"/>
  <c r="G6" i="2" s="1"/>
  <c r="G9" i="2" s="1"/>
  <c r="S5" i="2"/>
  <c r="S6" i="2" s="1"/>
  <c r="S9" i="2" s="1"/>
  <c r="I5" i="2"/>
  <c r="I6" i="2" s="1"/>
  <c r="I9" i="2" s="1"/>
  <c r="E5" i="2"/>
  <c r="E6" i="2" s="1"/>
  <c r="E9" i="2" s="1"/>
  <c r="J5" i="2"/>
  <c r="J6" i="2" s="1"/>
  <c r="J9" i="2" s="1"/>
  <c r="T5" i="2"/>
  <c r="T6" i="2" s="1"/>
  <c r="T9" i="2" s="1"/>
  <c r="L5" i="2"/>
  <c r="L6" i="2" s="1"/>
  <c r="L9" i="2" s="1"/>
  <c r="O5" i="2"/>
  <c r="O6" i="2" s="1"/>
  <c r="O9" i="2" s="1"/>
  <c r="N5" i="2"/>
  <c r="N6" i="2" s="1"/>
  <c r="N9" i="2" s="1"/>
  <c r="D5" i="2"/>
  <c r="D6" i="2" s="1"/>
  <c r="D9" i="2" s="1"/>
  <c r="P5" i="2"/>
  <c r="P6" i="2" s="1"/>
  <c r="P9" i="2" s="1"/>
  <c r="H5" i="2"/>
  <c r="H6" i="2" s="1"/>
  <c r="H9" i="2" s="1"/>
  <c r="M5" i="2"/>
  <c r="M6" i="2" s="1"/>
  <c r="M9" i="2" s="1"/>
  <c r="K5" i="2"/>
  <c r="K6" i="2" s="1"/>
  <c r="K9" i="2" s="1"/>
  <c r="Q5" i="2"/>
  <c r="Q6" i="2" s="1"/>
  <c r="Q9" i="2" s="1"/>
  <c r="F5" i="2"/>
  <c r="F6" i="2" s="1"/>
  <c r="F9" i="2" s="1"/>
  <c r="R5" i="2"/>
  <c r="R6" i="2" s="1"/>
  <c r="R9" i="2" s="1"/>
  <c r="C6" i="2"/>
  <c r="C9" i="2" s="1"/>
  <c r="U5" i="2"/>
  <c r="U6" i="2" s="1"/>
  <c r="U9" i="2" s="1"/>
  <c r="V6" i="2"/>
  <c r="V9" i="2" s="1"/>
  <c r="S12" i="2" l="1"/>
  <c r="S14" i="2" s="1"/>
  <c r="O26" i="2"/>
  <c r="Q26" i="2"/>
  <c r="P12" i="2"/>
  <c r="P26" i="2"/>
  <c r="O13" i="2"/>
  <c r="Q23" i="2"/>
  <c r="O23" i="2"/>
  <c r="P13" i="2"/>
  <c r="P23" i="2"/>
  <c r="Q13" i="2"/>
  <c r="O12" i="2"/>
  <c r="T12" i="2"/>
  <c r="T14" i="2" s="1"/>
  <c r="U12" i="2"/>
  <c r="U14" i="2" s="1"/>
  <c r="V12" i="2"/>
  <c r="V14" i="2" s="1"/>
  <c r="Q12" i="2"/>
  <c r="I15" i="1"/>
  <c r="I21" i="1" s="1"/>
  <c r="M13" i="2"/>
  <c r="G23" i="2"/>
  <c r="N23" i="2"/>
  <c r="J13" i="2"/>
  <c r="M23" i="2"/>
  <c r="C13" i="2"/>
  <c r="F13" i="2"/>
  <c r="D23" i="2"/>
  <c r="K23" i="2"/>
  <c r="C23" i="2"/>
  <c r="L13" i="2"/>
  <c r="H23" i="2"/>
  <c r="D13" i="2"/>
  <c r="G13" i="2"/>
  <c r="H13" i="2"/>
  <c r="I13" i="2"/>
  <c r="L23" i="2"/>
  <c r="F23" i="2"/>
  <c r="E13" i="2"/>
  <c r="N13" i="2"/>
  <c r="E23" i="2"/>
  <c r="K13" i="2"/>
  <c r="J23" i="2"/>
  <c r="I23" i="2"/>
  <c r="R12" i="2"/>
  <c r="R14" i="2" s="1"/>
  <c r="E26" i="2"/>
  <c r="E12" i="2"/>
  <c r="M12" i="2"/>
  <c r="M26" i="2"/>
  <c r="N12" i="2"/>
  <c r="N26" i="2"/>
  <c r="J12" i="2"/>
  <c r="J26" i="2"/>
  <c r="F12" i="2"/>
  <c r="F26" i="2"/>
  <c r="L12" i="2"/>
  <c r="L26" i="2"/>
  <c r="G12" i="2"/>
  <c r="G26" i="2"/>
  <c r="H12" i="2"/>
  <c r="H26" i="2"/>
  <c r="C12" i="2"/>
  <c r="C26" i="2"/>
  <c r="K12" i="2"/>
  <c r="K26" i="2"/>
  <c r="D12" i="2"/>
  <c r="D26" i="2"/>
  <c r="I12" i="2"/>
  <c r="I26" i="2"/>
  <c r="I14" i="2" l="1"/>
  <c r="E14" i="2"/>
  <c r="J14" i="2"/>
  <c r="O14" i="2"/>
  <c r="Q14" i="2"/>
  <c r="P14" i="2"/>
  <c r="G14" i="2"/>
  <c r="M14" i="2"/>
  <c r="C14" i="2"/>
  <c r="F14" i="2"/>
  <c r="D14" i="2"/>
  <c r="N14" i="2"/>
  <c r="K14" i="2"/>
  <c r="H14" i="2"/>
  <c r="L14" i="2"/>
  <c r="B31" i="1"/>
  <c r="C31" i="1" s="1"/>
  <c r="C15" i="2" l="1"/>
  <c r="D16" i="2" s="1"/>
  <c r="D17" i="2" s="1"/>
  <c r="D28" i="2" s="1"/>
  <c r="C16" i="2"/>
  <c r="C17" i="2" s="1"/>
  <c r="C28" i="2" s="1"/>
  <c r="C29" i="2" s="1"/>
  <c r="C30" i="2" s="1"/>
  <c r="D15" i="2" l="1"/>
  <c r="E15" i="2" s="1"/>
  <c r="C19" i="2"/>
  <c r="C20" i="2" s="1"/>
  <c r="C21" i="2" s="1"/>
  <c r="D19" i="2"/>
  <c r="D20" i="2" s="1"/>
  <c r="D29" i="2"/>
  <c r="D30" i="2" s="1"/>
  <c r="E16" i="2" l="1"/>
  <c r="E17" i="2" s="1"/>
  <c r="E19" i="2" s="1"/>
  <c r="E22" i="2" s="1"/>
  <c r="F15" i="2"/>
  <c r="F16" i="2"/>
  <c r="F17" i="2" s="1"/>
  <c r="F19" i="2" s="1"/>
  <c r="F24" i="2" s="1"/>
  <c r="C24" i="2"/>
  <c r="C22" i="2"/>
  <c r="D21" i="2"/>
  <c r="D22" i="2"/>
  <c r="D24" i="2"/>
  <c r="E28" i="2" l="1"/>
  <c r="E29" i="2" s="1"/>
  <c r="E30" i="2" s="1"/>
  <c r="E24" i="2"/>
  <c r="F28" i="2"/>
  <c r="F29" i="2" s="1"/>
  <c r="F30" i="2" s="1"/>
  <c r="E20" i="2"/>
  <c r="E21" i="2" s="1"/>
  <c r="F22" i="2"/>
  <c r="F20" i="2"/>
  <c r="G16" i="2"/>
  <c r="G17" i="2" s="1"/>
  <c r="G15" i="2"/>
  <c r="F21" i="2" l="1"/>
  <c r="H16" i="2"/>
  <c r="H17" i="2" s="1"/>
  <c r="H15" i="2"/>
  <c r="G19" i="2"/>
  <c r="G28" i="2"/>
  <c r="G29" i="2" s="1"/>
  <c r="G30" i="2" s="1"/>
  <c r="I16" i="2" l="1"/>
  <c r="I17" i="2" s="1"/>
  <c r="I15" i="2"/>
  <c r="G24" i="2"/>
  <c r="G20" i="2"/>
  <c r="G21" i="2" s="1"/>
  <c r="G22" i="2"/>
  <c r="H19" i="2"/>
  <c r="H28" i="2"/>
  <c r="H29" i="2" s="1"/>
  <c r="H30" i="2" s="1"/>
  <c r="J16" i="2" l="1"/>
  <c r="J17" i="2" s="1"/>
  <c r="J15" i="2"/>
  <c r="H20" i="2"/>
  <c r="H21" i="2" s="1"/>
  <c r="H24" i="2"/>
  <c r="H22" i="2"/>
  <c r="I28" i="2"/>
  <c r="I29" i="2" s="1"/>
  <c r="I30" i="2" s="1"/>
  <c r="I19" i="2"/>
  <c r="I20" i="2" l="1"/>
  <c r="I21" i="2" s="1"/>
  <c r="I24" i="2"/>
  <c r="I22" i="2"/>
  <c r="K16" i="2"/>
  <c r="K17" i="2" s="1"/>
  <c r="K15" i="2"/>
  <c r="J19" i="2"/>
  <c r="J28" i="2"/>
  <c r="J29" i="2" s="1"/>
  <c r="J30" i="2" s="1"/>
  <c r="J20" i="2" l="1"/>
  <c r="J21" i="2" s="1"/>
  <c r="J22" i="2"/>
  <c r="J24" i="2"/>
  <c r="L16" i="2"/>
  <c r="L17" i="2" s="1"/>
  <c r="L15" i="2"/>
  <c r="K19" i="2"/>
  <c r="K28" i="2"/>
  <c r="K29" i="2" s="1"/>
  <c r="K30" i="2" s="1"/>
  <c r="K24" i="2" l="1"/>
  <c r="K20" i="2"/>
  <c r="K21" i="2" s="1"/>
  <c r="K22" i="2"/>
  <c r="M16" i="2"/>
  <c r="M17" i="2" s="1"/>
  <c r="M15" i="2"/>
  <c r="L28" i="2"/>
  <c r="L29" i="2" s="1"/>
  <c r="L30" i="2" s="1"/>
  <c r="L19" i="2"/>
  <c r="L22" i="2" l="1"/>
  <c r="L24" i="2"/>
  <c r="L20" i="2"/>
  <c r="L21" i="2" s="1"/>
  <c r="N16" i="2"/>
  <c r="N17" i="2" s="1"/>
  <c r="N15" i="2"/>
  <c r="M28" i="2"/>
  <c r="M29" i="2" s="1"/>
  <c r="M30" i="2" s="1"/>
  <c r="M19" i="2"/>
  <c r="M22" i="2" l="1"/>
  <c r="M20" i="2"/>
  <c r="M21" i="2" s="1"/>
  <c r="M24" i="2"/>
  <c r="O16" i="2"/>
  <c r="O17" i="2" s="1"/>
  <c r="O15" i="2"/>
  <c r="N28" i="2"/>
  <c r="N29" i="2" s="1"/>
  <c r="N30" i="2" s="1"/>
  <c r="N19" i="2"/>
  <c r="N22" i="2" l="1"/>
  <c r="N24" i="2"/>
  <c r="N20" i="2"/>
  <c r="N21" i="2" s="1"/>
  <c r="P16" i="2"/>
  <c r="P17" i="2" s="1"/>
  <c r="P15" i="2"/>
  <c r="O28" i="2"/>
  <c r="O29" i="2" s="1"/>
  <c r="O30" i="2" s="1"/>
  <c r="O19" i="2"/>
  <c r="O24" i="2" l="1"/>
  <c r="O20" i="2"/>
  <c r="O21" i="2" s="1"/>
  <c r="O22" i="2"/>
  <c r="Q16" i="2"/>
  <c r="Q17" i="2" s="1"/>
  <c r="Q15" i="2"/>
  <c r="P19" i="2"/>
  <c r="P28" i="2"/>
  <c r="P29" i="2" s="1"/>
  <c r="P30" i="2" s="1"/>
  <c r="P20" i="2" l="1"/>
  <c r="P21" i="2" s="1"/>
  <c r="P24" i="2"/>
  <c r="P22" i="2"/>
  <c r="R16" i="2"/>
  <c r="R17" i="2" s="1"/>
  <c r="R15" i="2"/>
  <c r="Q28" i="2"/>
  <c r="Q29" i="2" s="1"/>
  <c r="Q30" i="2" s="1"/>
  <c r="Q19" i="2"/>
  <c r="Q20" i="2" l="1"/>
  <c r="Q21" i="2" s="1"/>
  <c r="Q22" i="2"/>
  <c r="Q24" i="2"/>
  <c r="S16" i="2"/>
  <c r="S17" i="2" s="1"/>
  <c r="S15" i="2"/>
  <c r="R28" i="2"/>
  <c r="R29" i="2" s="1"/>
  <c r="R30" i="2" s="1"/>
  <c r="R19" i="2"/>
  <c r="S19" i="2" l="1"/>
  <c r="S28" i="2"/>
  <c r="S29" i="2" s="1"/>
  <c r="S30" i="2" s="1"/>
  <c r="R20" i="2"/>
  <c r="R21" i="2" s="1"/>
  <c r="R22" i="2"/>
  <c r="R24" i="2"/>
  <c r="T16" i="2"/>
  <c r="T17" i="2" s="1"/>
  <c r="T15" i="2"/>
  <c r="T28" i="2" l="1"/>
  <c r="T29" i="2" s="1"/>
  <c r="T30" i="2" s="1"/>
  <c r="T19" i="2"/>
  <c r="U16" i="2"/>
  <c r="U17" i="2" s="1"/>
  <c r="U15" i="2"/>
  <c r="S20" i="2"/>
  <c r="S21" i="2" s="1"/>
  <c r="S24" i="2"/>
  <c r="S22" i="2"/>
  <c r="V16" i="2" l="1"/>
  <c r="V17" i="2" s="1"/>
  <c r="B28" i="1" s="1"/>
  <c r="V15" i="2"/>
  <c r="U28" i="2"/>
  <c r="U29" i="2" s="1"/>
  <c r="U30" i="2" s="1"/>
  <c r="U19" i="2"/>
  <c r="T22" i="2"/>
  <c r="T20" i="2"/>
  <c r="T21" i="2" s="1"/>
  <c r="T24" i="2"/>
  <c r="V28" i="2" l="1"/>
  <c r="V29" i="2" s="1"/>
  <c r="V30" i="2" s="1"/>
  <c r="B30" i="1" s="1"/>
  <c r="V19" i="2"/>
  <c r="U24" i="2"/>
  <c r="U22" i="2"/>
  <c r="U20" i="2"/>
  <c r="U21" i="2" s="1"/>
  <c r="V24" i="2" l="1"/>
  <c r="B27" i="1" s="1"/>
  <c r="V22" i="2"/>
  <c r="B26" i="1" s="1"/>
  <c r="C26" i="1" s="1"/>
  <c r="V20" i="2"/>
  <c r="V21" i="2" s="1"/>
  <c r="B25" i="1" l="1"/>
  <c r="C25" i="1" s="1"/>
  <c r="B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npoize</author>
    <author>utilisateur</author>
  </authors>
  <commentList>
    <comment ref="C6" authorId="0" shapeId="0" xr:uid="{00000000-0006-0000-0000-000001000000}">
      <text>
        <r>
          <rPr>
            <sz val="9"/>
            <color indexed="81"/>
            <rFont val="Tahoma"/>
            <family val="2"/>
          </rPr>
          <t>indiquer puissance totale des installations de moins de 9 kWc</t>
        </r>
      </text>
    </comment>
    <comment ref="D6" authorId="0" shapeId="0" xr:uid="{00000000-0006-0000-0000-000002000000}">
      <text>
        <r>
          <rPr>
            <sz val="9"/>
            <color indexed="81"/>
            <rFont val="Tahoma"/>
            <family val="2"/>
          </rPr>
          <t>attention à l'unité : centimes d'euros par kWh. Tarifs fournis tous les trimestres, voir http://www.centralesvillageoises.fr/web/guest/actualites</t>
        </r>
      </text>
    </comment>
    <comment ref="C7" authorId="0" shapeId="0" xr:uid="{00000000-0006-0000-0000-000003000000}">
      <text>
        <r>
          <rPr>
            <sz val="9"/>
            <color indexed="81"/>
            <rFont val="Tahoma"/>
            <family val="2"/>
          </rPr>
          <t>puissance totale des installations entre 9 et 36 kWc</t>
        </r>
      </text>
    </comment>
    <comment ref="I7" authorId="1" shapeId="0" xr:uid="{38CFAA1B-5618-4DAE-B968-13BE3E16A709}">
      <text>
        <r>
          <rPr>
            <b/>
            <sz val="9"/>
            <color indexed="81"/>
            <rFont val="Tahoma"/>
            <family val="2"/>
          </rPr>
          <t>utilisateur:</t>
        </r>
        <r>
          <rPr>
            <sz val="9"/>
            <color indexed="81"/>
            <rFont val="Tahoma"/>
            <family val="2"/>
          </rPr>
          <t xml:space="preserve">
difficilement cumulables avec le tarif d'achat depuis l'arrêté S21. Peuvent néanmoins concerner les travaux annexes</t>
        </r>
      </text>
    </comment>
    <comment ref="C8" authorId="0" shapeId="0" xr:uid="{00000000-0006-0000-0000-000004000000}">
      <text>
        <r>
          <rPr>
            <sz val="9"/>
            <color indexed="81"/>
            <rFont val="Tahoma"/>
            <family val="2"/>
          </rPr>
          <t>puissance totale des installations de plus de 36 kWc</t>
        </r>
      </text>
    </comment>
    <comment ref="C9" authorId="0" shapeId="0" xr:uid="{CD6BB155-ED2C-4CD3-901A-37402B8E60C5}">
      <text>
        <r>
          <rPr>
            <sz val="9"/>
            <color indexed="81"/>
            <rFont val="Tahoma"/>
            <family val="2"/>
          </rPr>
          <t>puissance totale des installations de plus de 100 kWc</t>
        </r>
      </text>
    </comment>
    <comment ref="D9" authorId="1" shapeId="0" xr:uid="{3C3E863A-80F5-491B-8A0C-E5F0781387AF}">
      <text>
        <r>
          <rPr>
            <b/>
            <sz val="9"/>
            <color indexed="81"/>
            <rFont val="Tahoma"/>
            <family val="2"/>
          </rPr>
          <t>utilisateur:</t>
        </r>
        <r>
          <rPr>
            <sz val="9"/>
            <color indexed="81"/>
            <rFont val="Tahoma"/>
            <family val="2"/>
          </rPr>
          <t xml:space="preserve">
ATTENTION : ce tarif est limité à 1100 heures de production. Au-delà le kWh est vendu 4c€. Ce paramètre n'est pas pris en compte dans cet outil simplifié</t>
        </r>
      </text>
    </comment>
    <comment ref="I9" authorId="0" shapeId="0" xr:uid="{00000000-0006-0000-0000-000005000000}">
      <text>
        <r>
          <rPr>
            <sz val="9"/>
            <color indexed="81"/>
            <rFont val="Tahoma"/>
            <family val="2"/>
          </rPr>
          <t>Part empruntée à la banque. Le total emprunt + fonds propres dépasse 100% pour tenir compte d'un besoin accru de trésorerie au démarrage.</t>
        </r>
      </text>
    </comment>
    <comment ref="B11" authorId="0" shapeId="0" xr:uid="{00000000-0006-0000-0000-000006000000}">
      <text>
        <r>
          <rPr>
            <sz val="9"/>
            <color indexed="81"/>
            <rFont val="Tahoma"/>
            <family val="2"/>
          </rPr>
          <t xml:space="preserve">le ration moyen en région lyonnaise est de 1100 kWh/kWc environ. Pour affiner ce ratio, consulter PVGIS (voir AIDE)
</t>
        </r>
      </text>
    </comment>
    <comment ref="E14" authorId="0" shapeId="0" xr:uid="{00000000-0006-0000-0000-000007000000}">
      <text>
        <r>
          <rPr>
            <sz val="9"/>
            <color indexed="81"/>
            <rFont val="Tahoma"/>
            <family val="2"/>
          </rPr>
          <t>estimation donnée directement pour l'outil</t>
        </r>
      </text>
    </comment>
    <comment ref="B15" authorId="0" shapeId="0" xr:uid="{00000000-0006-0000-0000-000008000000}">
      <text>
        <r>
          <rPr>
            <sz val="9"/>
            <color indexed="81"/>
            <rFont val="Tahoma"/>
            <family val="2"/>
          </rPr>
          <t>estimation proposée directement par l'outil</t>
        </r>
      </text>
    </comment>
    <comment ref="E15" authorId="1" shapeId="0" xr:uid="{00000000-0006-0000-0000-000009000000}">
      <text>
        <r>
          <rPr>
            <b/>
            <sz val="9"/>
            <color indexed="81"/>
            <rFont val="Tahoma"/>
            <family val="2"/>
          </rPr>
          <t>utilisateur:</t>
        </r>
        <r>
          <rPr>
            <sz val="9"/>
            <color indexed="81"/>
            <rFont val="Tahoma"/>
            <family val="2"/>
          </rPr>
          <t xml:space="preserve">
Estimation donnée par l'outil, par inteprétation du barème MAIF :
- 9 kWc : 75€ /an
-36 kWc : 200 € /an
-100 kWc : 500€ /an
- &gt;100 kWc : estimation grossière à 1000€ /an</t>
        </r>
      </text>
    </comment>
    <comment ref="B16" authorId="0" shapeId="0" xr:uid="{00000000-0006-0000-0000-00000A000000}">
      <text>
        <r>
          <rPr>
            <sz val="9"/>
            <color indexed="81"/>
            <rFont val="Tahoma"/>
            <family val="2"/>
          </rPr>
          <t>permet de faire des simulations en testant des surcoûts de travaux annexes (renforcement charpente, tranchées, etc.)</t>
        </r>
      </text>
    </comment>
    <comment ref="E16" authorId="0" shapeId="0" xr:uid="{00000000-0006-0000-0000-00000B000000}">
      <text>
        <r>
          <rPr>
            <sz val="9"/>
            <color indexed="81"/>
            <rFont val="Tahoma"/>
            <family val="2"/>
          </rPr>
          <t>estimation donnée directement par l'outil sur la base d'un loyer de 100€ pour 9kWc, 300€ pour 36 kWc,  650€ pour 100 kWc et 1200€ au-delà</t>
        </r>
      </text>
    </comment>
    <comment ref="B17" authorId="0" shapeId="0" xr:uid="{00000000-0006-0000-0000-00000C000000}">
      <text>
        <r>
          <rPr>
            <sz val="9"/>
            <color indexed="81"/>
            <rFont val="Tahoma"/>
            <family val="2"/>
          </rPr>
          <t>estimation estimée directement par l'outil</t>
        </r>
      </text>
    </comment>
    <comment ref="E17" authorId="1" shapeId="0" xr:uid="{87F60252-63BE-4F4B-9479-6F58EA9B2F20}">
      <text>
        <r>
          <rPr>
            <b/>
            <sz val="9"/>
            <color indexed="81"/>
            <rFont val="Tahoma"/>
            <family val="2"/>
          </rPr>
          <t>utilisateur:</t>
        </r>
        <r>
          <rPr>
            <sz val="9"/>
            <color indexed="81"/>
            <rFont val="Tahoma"/>
            <family val="2"/>
          </rPr>
          <t xml:space="preserve">
ATTENTION, pour les installations au-delà de 250 kVA le TURPE est plus élevé. Ce paramètre n'a pas été pris en compte dans cet outil simplifié</t>
        </r>
      </text>
    </comment>
    <comment ref="B18" authorId="0" shapeId="0" xr:uid="{00000000-0006-0000-0000-00000D000000}">
      <text>
        <r>
          <rPr>
            <sz val="9"/>
            <color indexed="81"/>
            <rFont val="Tahoma"/>
            <family val="2"/>
          </rPr>
          <t>permet de prendre en compte une marge de surcoûts liés à des renforcements ou extensions de réseau électrique</t>
        </r>
      </text>
    </comment>
    <comment ref="E18" authorId="1" shapeId="0" xr:uid="{1CA95CA1-0521-43DE-B47B-0CD42235EBEA}">
      <text>
        <r>
          <rPr>
            <b/>
            <sz val="9"/>
            <color indexed="81"/>
            <rFont val="Tahoma"/>
            <family val="2"/>
          </rPr>
          <t>utilisateur:</t>
        </r>
        <r>
          <rPr>
            <sz val="9"/>
            <color indexed="81"/>
            <rFont val="Tahoma"/>
            <family val="2"/>
          </rPr>
          <t xml:space="preserve">
calculé automatiquement, ne concerne que les installations &gt;100 kVA</t>
        </r>
      </text>
    </comment>
    <comment ref="A19" authorId="0" shapeId="0" xr:uid="{00000000-0006-0000-0000-00000F000000}">
      <text>
        <r>
          <rPr>
            <sz val="9"/>
            <color indexed="81"/>
            <rFont val="Tahoma"/>
            <family val="2"/>
          </rPr>
          <t>hypothèse faite par défaut pour simpliifier le renouvellement des onduleurs</t>
        </r>
      </text>
    </comment>
    <comment ref="B19" authorId="0" shapeId="0" xr:uid="{00000000-0006-0000-0000-000010000000}">
      <text>
        <r>
          <rPr>
            <sz val="9"/>
            <color indexed="81"/>
            <rFont val="Tahoma"/>
            <family val="2"/>
          </rPr>
          <t>estimation donnée directement par l'outil</t>
        </r>
      </text>
    </comment>
    <comment ref="E19" authorId="0" shapeId="0" xr:uid="{00000000-0006-0000-0000-00000E000000}">
      <text>
        <r>
          <rPr>
            <sz val="9"/>
            <color indexed="81"/>
            <rFont val="Tahoma"/>
            <family val="2"/>
          </rPr>
          <t>mettre 1500€ par défaut</t>
        </r>
      </text>
    </comment>
    <comment ref="E20" authorId="0" shapeId="0" xr:uid="{00000000-0006-0000-0000-000011000000}">
      <text>
        <r>
          <rPr>
            <sz val="9"/>
            <color indexed="81"/>
            <rFont val="Tahoma"/>
            <family val="2"/>
          </rPr>
          <t>prévoir une marge pour diverses dépenses de la société</t>
        </r>
      </text>
    </comment>
    <comment ref="I21" authorId="0" shapeId="0" xr:uid="{00000000-0006-0000-0000-000012000000}">
      <text>
        <r>
          <rPr>
            <sz val="9"/>
            <color indexed="81"/>
            <rFont val="Tahoma"/>
            <family val="2"/>
          </rPr>
          <t xml:space="preserve">mettre 3% par défaut si pas de connaissance de la notion d'actualisation. </t>
        </r>
      </text>
    </comment>
    <comment ref="A30" authorId="0" shapeId="0" xr:uid="{00000000-0006-0000-0000-000013000000}">
      <text>
        <r>
          <rPr>
            <b/>
            <sz val="9"/>
            <color indexed="81"/>
            <rFont val="Tahoma"/>
            <family val="2"/>
          </rPr>
          <t>dans le cas d'une SAS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npoize</author>
  </authors>
  <commentList>
    <comment ref="A29" authorId="0" shapeId="0" xr:uid="{00000000-0006-0000-0100-000001000000}">
      <text>
        <r>
          <rPr>
            <b/>
            <sz val="9"/>
            <color indexed="81"/>
            <rFont val="Tahoma"/>
            <family val="2"/>
          </rPr>
          <t>avec CSG déduite</t>
        </r>
      </text>
    </comment>
  </commentList>
</comments>
</file>

<file path=xl/sharedStrings.xml><?xml version="1.0" encoding="utf-8"?>
<sst xmlns="http://schemas.openxmlformats.org/spreadsheetml/2006/main" count="125" uniqueCount="124">
  <si>
    <t>Description sommaire du projet</t>
  </si>
  <si>
    <t>Nombre</t>
  </si>
  <si>
    <t>Estimation coûts de branchement</t>
  </si>
  <si>
    <t>Monitoring</t>
  </si>
  <si>
    <t>Maintenance</t>
  </si>
  <si>
    <t>Assurance</t>
  </si>
  <si>
    <t>Loyers</t>
  </si>
  <si>
    <t>TURPE</t>
  </si>
  <si>
    <t>Comptabilité</t>
  </si>
  <si>
    <t xml:space="preserve">Divers </t>
  </si>
  <si>
    <t>TOTAL</t>
  </si>
  <si>
    <t>Tarifs d'achat en vigueur (c€/kWh)</t>
  </si>
  <si>
    <t>Puissance (kW)</t>
  </si>
  <si>
    <t>Part d'emprunt</t>
  </si>
  <si>
    <t>Durée d'emprunt</t>
  </si>
  <si>
    <t>Taux d'emprunt</t>
  </si>
  <si>
    <t>Ratio estimé coût du PV (€HT / Wc)</t>
  </si>
  <si>
    <t xml:space="preserve">Ventes d'électicité </t>
  </si>
  <si>
    <t>Charges</t>
  </si>
  <si>
    <t>Valeur ajoutée</t>
  </si>
  <si>
    <t>Charges de personnel</t>
  </si>
  <si>
    <t>Dotations aux amortissements</t>
  </si>
  <si>
    <t>Provisions</t>
  </si>
  <si>
    <t>Résultat d'Exploitation</t>
  </si>
  <si>
    <t>Frais financiers (remb. annuité constante)</t>
  </si>
  <si>
    <t>Résultat courant avant impôt</t>
  </si>
  <si>
    <t>Déficit reportable</t>
  </si>
  <si>
    <t>Impôts</t>
  </si>
  <si>
    <t>Résultat Net Comptable</t>
  </si>
  <si>
    <t>Cash Flow Actualisés</t>
  </si>
  <si>
    <t>VAN</t>
  </si>
  <si>
    <t>Inflation</t>
  </si>
  <si>
    <t>Taxes (CFE)</t>
  </si>
  <si>
    <t>Indicateurs financiers</t>
  </si>
  <si>
    <t xml:space="preserve">TRI du projet </t>
  </si>
  <si>
    <t>Résultat net / Fonds propres</t>
  </si>
  <si>
    <t>Taux de couverture de la dette</t>
  </si>
  <si>
    <t>VAN sur 20 ans</t>
  </si>
  <si>
    <t>Taux actualisation</t>
  </si>
  <si>
    <t>Mise en réserve années 1 - 3</t>
  </si>
  <si>
    <t>Mise en réserve années 4 - 20</t>
  </si>
  <si>
    <t>Hypothèses financement</t>
  </si>
  <si>
    <t>Dividendes distribuables</t>
  </si>
  <si>
    <t>Taux CSG</t>
  </si>
  <si>
    <t>Rémunération moyenne FP sur 20 ans</t>
  </si>
  <si>
    <t>TRI / Fonds propres</t>
  </si>
  <si>
    <t>Principal emprunt</t>
  </si>
  <si>
    <t>Ratio moyen productible (kWh/kWc)</t>
  </si>
  <si>
    <t>Hypothèse investissement € HT</t>
  </si>
  <si>
    <t>Hypothèses charges € HT/an</t>
  </si>
  <si>
    <t>Calcul du TRI</t>
  </si>
  <si>
    <t>Ext. Garantie onduleurs 20 ans</t>
  </si>
  <si>
    <t>Dividendes</t>
  </si>
  <si>
    <t>Total</t>
  </si>
  <si>
    <t>TRI Fonds Propres</t>
  </si>
  <si>
    <t>Temps de retour actualisé (ans)</t>
  </si>
  <si>
    <t xml:space="preserve">Ce modèle simplifié ne prend pas en compte :
* les comptes-courants d'associés
* la trésorerie mensuelle et annuelle
* le cas d'une SCIC (hypothèse d'une SAS uniquement)
</t>
  </si>
  <si>
    <t>remplir uniquement les cases jaunes</t>
  </si>
  <si>
    <t>CENTRALES VILLAGEOISES XXX : MODELE FINANCIER - PREMIERE ESQUISSE</t>
  </si>
  <si>
    <t>Estimation coûts travaux annexes (€ HT)</t>
  </si>
  <si>
    <t>Estimation surcoûts raccordement (€ HT)</t>
  </si>
  <si>
    <t>Installations de moins de 9 kWc</t>
  </si>
  <si>
    <t>Installations entre 9 et 36 kWc</t>
  </si>
  <si>
    <t>Installations entre 36 et 100 kWc</t>
  </si>
  <si>
    <t>OUTIL DE SIMULATION ECONOMIQUE EN PHASE ESQUISSE</t>
  </si>
  <si>
    <t>CENTRALES VILLAGEOISES</t>
  </si>
  <si>
    <r>
      <t xml:space="preserve">C’est-à-dire qu'il permet de cerner à peu près </t>
    </r>
    <r>
      <rPr>
        <b/>
        <u/>
        <sz val="11"/>
        <color theme="1"/>
        <rFont val="Calibri"/>
        <family val="2"/>
        <scheme val="minor"/>
      </rPr>
      <t>combien</t>
    </r>
    <r>
      <rPr>
        <sz val="11"/>
        <color theme="1"/>
        <rFont val="Calibri"/>
        <family val="2"/>
        <scheme val="minor"/>
      </rPr>
      <t xml:space="preserve"> d'installations photovoltaïques peuvent être réalisées par classe de puissance. </t>
    </r>
  </si>
  <si>
    <r>
      <t xml:space="preserve">Cet outil sert uniquement en tout début de projet, en phase </t>
    </r>
    <r>
      <rPr>
        <b/>
        <u/>
        <sz val="11"/>
        <color theme="1"/>
        <rFont val="Calibri"/>
        <family val="2"/>
        <scheme val="minor"/>
      </rPr>
      <t>ESQUISSE,</t>
    </r>
    <r>
      <rPr>
        <sz val="11"/>
        <color theme="1"/>
        <rFont val="Calibri"/>
        <family val="2"/>
        <scheme val="minor"/>
      </rPr>
      <t xml:space="preserve"> lorsqu'il faut déterminer approximativement où va se situer l'équilibre financier du projet photovoltaïque groupé.</t>
    </r>
  </si>
  <si>
    <t>GENERALITES</t>
  </si>
  <si>
    <t>AIDE A LA SAISIE DANS L'OUTIL</t>
  </si>
  <si>
    <t>La plupart de ces cases contient un commentaire qui aide à comprendre la nature de la saisie attendue.</t>
  </si>
  <si>
    <t>L'outil est très simplifié. Il fonctionne avec de grands ratios, et des approximations sur les différents postes.</t>
  </si>
  <si>
    <r>
      <t xml:space="preserve">Concernant l'estimation du </t>
    </r>
    <r>
      <rPr>
        <b/>
        <u/>
        <sz val="11"/>
        <color theme="1"/>
        <rFont val="Calibri"/>
        <family val="2"/>
        <scheme val="minor"/>
      </rPr>
      <t>productible moyen</t>
    </r>
    <r>
      <rPr>
        <sz val="11"/>
        <color theme="1"/>
        <rFont val="Calibri"/>
        <family val="2"/>
        <scheme val="minor"/>
      </rPr>
      <t>, il s'agit de savoir quelle énergie (kWh) produit en moyenne 1 kilowatt crête photovoltaïque, ce qui est directement fonction de l'ensoleillement et des critères d'implantation (orientation, inclinaison, masques..). Le logiciel en ligne PVGIS permet de connaître ce ratio moyen pour une inclinaison et une orientation idéale selon la localisation géographique. On recommande de l'utiliser en 1ère approche pour ce fichier.</t>
    </r>
  </si>
  <si>
    <t>Lien : http://re.jrc.ec.europa.eu/pvgis/apps4/pvest.php</t>
  </si>
  <si>
    <t xml:space="preserve">Paramétrer l'outil comme ci-dessous : </t>
  </si>
  <si>
    <t>COMPRENDRE LES RESULTATS</t>
  </si>
  <si>
    <t>VAN : Valeur Actuelle Nette</t>
  </si>
  <si>
    <t>Elle est cependant très dépendante du taux d'actualisation ce qui nuance son interprétation.</t>
  </si>
  <si>
    <t xml:space="preserve">Cette valeur doit impérativement être positive pour que le projet soit viable (= pas d'argent perdu). </t>
  </si>
  <si>
    <t>TRI (Taux de Rendement Interne)</t>
  </si>
  <si>
    <t xml:space="preserve">Le TRI du projet est la paramètre le plus important. Il correspond au taux d'actualisation qui annule la VAN. Il doit donc être supérieur au taux d'actualisation choisi pour que le projet soit viable. </t>
  </si>
  <si>
    <t>En pratique, il est recommandé d'avoir un TRI de projet supérieur à 5%.</t>
  </si>
  <si>
    <t>C'est le montant que dégage la société au bout de 20 ans d'exploitation, par rapport à une situation dans laquelle les capitaux investis auraient été placés à un taux égal au taux d'actualisation. Il s'agit de l'enrichissement supplémentaire acquis par rapport au minimum de rémunération des capitaux que représente le taux d'actualisation.</t>
  </si>
  <si>
    <t xml:space="preserve">Le TRI sur fonds propres </t>
  </si>
  <si>
    <t>TRA (Temps de Retour Actualisé)</t>
  </si>
  <si>
    <t>Rémunération moyenne des fonds propres</t>
  </si>
  <si>
    <t>Comptes prévisionnels - SOLDES INTERMEDIAIRES DE GESTION (SIG)</t>
  </si>
  <si>
    <t>DSCR moyen</t>
  </si>
  <si>
    <t>CONSULTER L'AIDE</t>
  </si>
  <si>
    <r>
      <t xml:space="preserve">Ces postes de dépenses sont compensés par des </t>
    </r>
    <r>
      <rPr>
        <b/>
        <u/>
        <sz val="11"/>
        <color theme="1"/>
        <rFont val="Calibri"/>
        <family val="2"/>
        <scheme val="minor"/>
      </rPr>
      <t>RECETTES</t>
    </r>
    <r>
      <rPr>
        <sz val="11"/>
        <color theme="1"/>
        <rFont val="Calibri"/>
        <family val="2"/>
        <scheme val="minor"/>
      </rPr>
      <t xml:space="preserve"> issues de la vente d'électricité. </t>
    </r>
  </si>
  <si>
    <t>Seules les cases avec un fond jaune clair sont à remplir.</t>
  </si>
  <si>
    <r>
      <t>Le calcul donne une valeur du</t>
    </r>
    <r>
      <rPr>
        <b/>
        <u/>
        <sz val="11"/>
        <color theme="1"/>
        <rFont val="Calibri"/>
        <family val="2"/>
        <scheme val="minor"/>
      </rPr>
      <t xml:space="preserve"> coefficient Em</t>
    </r>
    <r>
      <rPr>
        <sz val="11"/>
        <color theme="1"/>
        <rFont val="Calibri"/>
        <family val="2"/>
        <scheme val="minor"/>
      </rPr>
      <t xml:space="preserve"> totalisé sur l'année qui correspond au productible annuel demandé dans le présent outil.</t>
    </r>
  </si>
  <si>
    <t>Il s'agit du temps au bout duquel l'investissement et les charges sont "remboursées" par les recettes, en tenant compte de l'actualisation de l'argent. Il doit être inférieur à 20 ans, qui est la durée d'observation utilisée, calquée sur la durée du tarif d'achat.</t>
  </si>
  <si>
    <t>Chaque année, les actionnaires votent la part de bénéfices qui est mise en réserves et la part qui est distribuée (dividendes). La part distribuée, ramenée au nombre de parts détenues, représente le taux de rémunération des fonds propres. Il dépend donc des votes effectués chaque année. Dans cette simulation, on fait des hypothèses fortes sur les % de redistribution (voir cases I12 et I13) et il faut donc en apprécier la valeur moyenne avec prudence. Le signal "OK" s'affiche lorsque le taux est supérieur à 3% mais il conviendra aux porteurs de projet d'établir s'ils acceptent un taux inférieur dans la simulation.</t>
  </si>
  <si>
    <t>DSCR</t>
  </si>
  <si>
    <t>Terme anglais désignant le taux de couverture de la dette, rapport entre l'EBE et l'annuité d'emprunt. Il mesure la capacité de l'entreprise à avoir suffisamment de marge pour rembourser son emprunt. Les banques exigent en général que ce taux soit supérieur à 115% ou 120%.</t>
  </si>
  <si>
    <t>Flux de trésorerie (cash flows)</t>
  </si>
  <si>
    <t>Le TRI sur fonds propres correspond au taux maximum auquel on peut rémunérer les fonds propres. Il faut donc qu'il soit supérieur au taux espéré de rémunération des fonds propres. Il est calculé à partir des flux de trésorerie effectivement destinés aux actionnaires.</t>
  </si>
  <si>
    <t>Excédent Brut d'Exploitation (EBE)</t>
  </si>
  <si>
    <t>Mise en réserve</t>
  </si>
  <si>
    <t xml:space="preserve">L'analyse financière des projets à partir de ce fichier est de la seule responsabilité des utilisateurs.  </t>
  </si>
  <si>
    <r>
      <t xml:space="preserve">Les projets de Centrales villageoises photovoltaïques recquièrent des </t>
    </r>
    <r>
      <rPr>
        <b/>
        <u/>
        <sz val="11"/>
        <color theme="1"/>
        <rFont val="Calibri"/>
        <family val="2"/>
        <scheme val="minor"/>
      </rPr>
      <t>INVESTISSEMENTS</t>
    </r>
    <r>
      <rPr>
        <sz val="11"/>
        <color theme="1"/>
        <rFont val="Calibri"/>
        <family val="2"/>
        <scheme val="minor"/>
      </rPr>
      <t xml:space="preserve"> initiaux puis des </t>
    </r>
    <r>
      <rPr>
        <b/>
        <u/>
        <sz val="11"/>
        <color theme="1"/>
        <rFont val="Calibri"/>
        <family val="2"/>
        <scheme val="minor"/>
      </rPr>
      <t xml:space="preserve">CHARGES </t>
    </r>
    <r>
      <rPr>
        <sz val="11"/>
        <color theme="1"/>
        <rFont val="Calibri"/>
        <family val="2"/>
        <scheme val="minor"/>
      </rPr>
      <t xml:space="preserve">de fonctionnement. </t>
    </r>
  </si>
  <si>
    <r>
      <t xml:space="preserve">Le financement des investissements se fait pour partie en </t>
    </r>
    <r>
      <rPr>
        <b/>
        <u/>
        <sz val="11"/>
        <color theme="1"/>
        <rFont val="Calibri"/>
        <family val="2"/>
        <scheme val="minor"/>
      </rPr>
      <t>FONDS PROPRES</t>
    </r>
    <r>
      <rPr>
        <sz val="11"/>
        <color theme="1"/>
        <rFont val="Calibri"/>
        <family val="2"/>
        <scheme val="minor"/>
      </rPr>
      <t xml:space="preserve"> (apport de capital de la société locale) et en </t>
    </r>
    <r>
      <rPr>
        <b/>
        <u/>
        <sz val="11"/>
        <color theme="1"/>
        <rFont val="Calibri"/>
        <family val="2"/>
        <scheme val="minor"/>
      </rPr>
      <t>EMPRUNT</t>
    </r>
    <r>
      <rPr>
        <sz val="11"/>
        <color theme="1"/>
        <rFont val="Calibri"/>
        <family val="2"/>
        <scheme val="minor"/>
      </rPr>
      <t xml:space="preserve"> (bancaire).</t>
    </r>
  </si>
  <si>
    <t>part fonds propres</t>
  </si>
  <si>
    <t>part subvention</t>
  </si>
  <si>
    <t>part emprunt</t>
  </si>
  <si>
    <t>fonds propres (€)</t>
  </si>
  <si>
    <t>Subvention (€)</t>
  </si>
  <si>
    <t>Installations entre 100 et 500 kWc</t>
  </si>
  <si>
    <t>IFER</t>
  </si>
  <si>
    <t>AUTEURS</t>
  </si>
  <si>
    <t xml:space="preserve">Association des Centrales Villageoises </t>
  </si>
  <si>
    <t>Date</t>
  </si>
  <si>
    <t>VERSION</t>
  </si>
  <si>
    <t>Statut outil</t>
  </si>
  <si>
    <t>Public</t>
  </si>
  <si>
    <t>Conditions d’utilisation</t>
  </si>
  <si>
    <t xml:space="preserve">Cet outil est diffusé en libre accès depuis le site www.centralesvillageoises.fr </t>
  </si>
  <si>
    <t>Il peut être exploité dans le cadre de la licence CC-by-sa 4.0. En savoir plus</t>
  </si>
  <si>
    <t>Toute proposition d'amélioration ou de correctif est la bienvenue à l'adresse association@centralesvillageoises.fr</t>
  </si>
  <si>
    <t>L'outil de simulation économique esquisse est présenté dans les feuilles de clacul suivantes.</t>
  </si>
  <si>
    <t>Mise à jour: Octobre 2024</t>
  </si>
  <si>
    <t>V7</t>
  </si>
  <si>
    <t>Ces classes de puissances correspondent aux différents niveaux du tarif d'achat : inférieur à 9 kWc, entre 9 et 36 kWc, entre 36 et 100 kWc et entre 100 et 500 kWc. Le tarif d'achat fixé depuis 2017 incite à rechercher plus d'installations  36 ou 100 kWc (voire au-delà depuis 2021) que de petites installations qui reviennent désormais propostionnellement plus 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</si>
</sst>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
  </numFmts>
  <fonts count="38">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sz val="10"/>
      <name val="MS Sans Serif"/>
      <family val="2"/>
    </font>
    <font>
      <sz val="10"/>
      <name val="Arial"/>
      <family val="2"/>
    </font>
    <font>
      <sz val="10"/>
      <color indexed="10"/>
      <name val="Arial"/>
      <family val="2"/>
    </font>
    <font>
      <b/>
      <sz val="10"/>
      <color theme="0"/>
      <name val="Arial"/>
      <family val="2"/>
    </font>
    <font>
      <b/>
      <i/>
      <sz val="11"/>
      <color theme="7" tint="-0.249977111117893"/>
      <name val="Calibri"/>
      <family val="2"/>
      <scheme val="minor"/>
    </font>
    <font>
      <b/>
      <i/>
      <sz val="11"/>
      <color theme="8" tint="-0.249977111117893"/>
      <name val="Calibri"/>
      <family val="2"/>
      <scheme val="minor"/>
    </font>
    <font>
      <sz val="11"/>
      <color theme="8" tint="-0.249977111117893"/>
      <name val="Calibri"/>
      <family val="2"/>
      <scheme val="minor"/>
    </font>
    <font>
      <sz val="10"/>
      <color theme="1"/>
      <name val="Calibri"/>
      <family val="2"/>
      <scheme val="minor"/>
    </font>
    <font>
      <i/>
      <sz val="10"/>
      <color theme="8" tint="-0.249977111117893"/>
      <name val="Calibri"/>
      <family val="2"/>
      <scheme val="minor"/>
    </font>
    <font>
      <i/>
      <sz val="10"/>
      <color theme="7" tint="-0.249977111117893"/>
      <name val="Calibri"/>
      <family val="2"/>
      <scheme val="minor"/>
    </font>
    <font>
      <b/>
      <sz val="9"/>
      <color theme="1"/>
      <name val="Calibri"/>
      <family val="2"/>
      <scheme val="minor"/>
    </font>
    <font>
      <b/>
      <sz val="9"/>
      <color theme="6" tint="-0.249977111117893"/>
      <name val="Calibri"/>
      <family val="2"/>
      <scheme val="minor"/>
    </font>
    <font>
      <sz val="9"/>
      <color theme="1"/>
      <name val="Calibri"/>
      <family val="2"/>
      <scheme val="minor"/>
    </font>
    <font>
      <i/>
      <sz val="9"/>
      <color theme="1"/>
      <name val="Calibri"/>
      <family val="2"/>
      <scheme val="minor"/>
    </font>
    <font>
      <sz val="9"/>
      <color indexed="81"/>
      <name val="Tahoma"/>
      <family val="2"/>
    </font>
    <font>
      <b/>
      <sz val="9"/>
      <color indexed="81"/>
      <name val="Tahoma"/>
      <family val="2"/>
    </font>
    <font>
      <b/>
      <sz val="14"/>
      <color theme="6" tint="-0.249977111117893"/>
      <name val="Calibri"/>
      <family val="2"/>
      <scheme val="minor"/>
    </font>
    <font>
      <i/>
      <sz val="9"/>
      <name val="Calibri"/>
      <family val="2"/>
      <scheme val="minor"/>
    </font>
    <font>
      <b/>
      <sz val="14"/>
      <color theme="1"/>
      <name val="Calibri"/>
      <family val="2"/>
      <scheme val="minor"/>
    </font>
    <font>
      <b/>
      <u/>
      <sz val="11"/>
      <color theme="1"/>
      <name val="Calibri"/>
      <family val="2"/>
      <scheme val="minor"/>
    </font>
    <font>
      <b/>
      <sz val="14"/>
      <color theme="0"/>
      <name val="Calibri"/>
      <family val="2"/>
      <scheme val="minor"/>
    </font>
    <font>
      <sz val="11"/>
      <color theme="0"/>
      <name val="Calibri"/>
      <family val="2"/>
      <scheme val="minor"/>
    </font>
    <font>
      <u/>
      <sz val="11"/>
      <color theme="10"/>
      <name val="Calibri"/>
      <family val="2"/>
      <scheme val="minor"/>
    </font>
    <font>
      <b/>
      <u/>
      <sz val="11"/>
      <color rgb="FFFF0000"/>
      <name val="Calibri"/>
      <family val="2"/>
      <scheme val="minor"/>
    </font>
    <font>
      <sz val="11"/>
      <color rgb="FFFF0000"/>
      <name val="Calibri"/>
      <family val="2"/>
      <scheme val="minor"/>
    </font>
    <font>
      <b/>
      <sz val="11"/>
      <color rgb="FFFF0000"/>
      <name val="Calibri"/>
      <family val="2"/>
      <scheme val="minor"/>
    </font>
    <font>
      <b/>
      <sz val="12"/>
      <color theme="1"/>
      <name val="Beon"/>
    </font>
    <font>
      <sz val="12"/>
      <color rgb="FFE36C0A"/>
      <name val="Altair"/>
    </font>
    <font>
      <sz val="12"/>
      <color rgb="FF000000"/>
      <name val="Calibri"/>
      <family val="2"/>
      <scheme val="minor"/>
    </font>
    <font>
      <b/>
      <sz val="12"/>
      <color rgb="FFFF0000"/>
      <name val="Calibri"/>
      <family val="2"/>
      <scheme val="minor"/>
    </font>
    <font>
      <b/>
      <sz val="12"/>
      <color theme="1"/>
      <name val="Calibri"/>
      <family val="2"/>
      <scheme val="minor"/>
    </font>
    <font>
      <sz val="12"/>
      <color theme="1"/>
      <name val="Calibri"/>
      <family val="2"/>
      <scheme val="minor"/>
    </font>
  </fonts>
  <fills count="17">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9" tint="-0.249977111117893"/>
        <bgColor indexed="64"/>
      </patternFill>
    </fill>
    <fill>
      <patternFill patternType="solid">
        <fgColor indexed="43"/>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top/>
      <bottom style="medium">
        <color rgb="FF808080"/>
      </bottom>
      <diagonal/>
    </border>
    <border>
      <left style="medium">
        <color rgb="FF808080"/>
      </left>
      <right style="medium">
        <color rgb="FF808080"/>
      </right>
      <top/>
      <bottom/>
      <diagonal/>
    </border>
    <border>
      <left/>
      <right style="medium">
        <color rgb="FF808080"/>
      </right>
      <top/>
      <bottom/>
      <diagonal/>
    </border>
    <border>
      <left style="medium">
        <color rgb="FF808080"/>
      </left>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top/>
      <bottom/>
      <diagonal/>
    </border>
    <border>
      <left style="medium">
        <color rgb="FF808080"/>
      </left>
      <right/>
      <top/>
      <bottom style="medium">
        <color rgb="FF808080"/>
      </bottom>
      <diagonal/>
    </border>
  </borders>
  <cellStyleXfs count="38">
    <xf numFmtId="0" fontId="0" fillId="0" borderId="0"/>
    <xf numFmtId="9" fontId="2" fillId="0" borderId="0" applyFont="0" applyFill="0" applyBorder="0" applyAlignment="0" applyProtection="0"/>
    <xf numFmtId="0" fontId="6" fillId="0" borderId="0"/>
    <xf numFmtId="4" fontId="7" fillId="9" borderId="8" applyNumberFormat="0" applyFont="0" applyBorder="0" applyAlignment="0">
      <alignment horizontal="center"/>
      <protection locked="0"/>
    </xf>
    <xf numFmtId="44" fontId="7" fillId="0" borderId="0" applyFont="0" applyFill="0" applyBorder="0" applyAlignment="0" applyProtection="0"/>
    <xf numFmtId="40" fontId="6" fillId="0" borderId="0" applyFont="0" applyFill="0" applyBorder="0" applyAlignment="0" applyProtection="0"/>
    <xf numFmtId="0" fontId="7" fillId="0" borderId="0"/>
    <xf numFmtId="0" fontId="7" fillId="0" borderId="0"/>
    <xf numFmtId="9" fontId="6"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6" fillId="0" borderId="0"/>
    <xf numFmtId="40" fontId="6"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7" fillId="0" borderId="0" applyFont="0" applyFill="0" applyBorder="0" applyAlignment="0" applyProtection="0"/>
    <xf numFmtId="0" fontId="7" fillId="0" borderId="0"/>
    <xf numFmtId="0" fontId="28" fillId="0" borderId="0" applyNumberFormat="0" applyFill="0" applyBorder="0" applyAlignment="0" applyProtection="0"/>
  </cellStyleXfs>
  <cellXfs count="170">
    <xf numFmtId="0" fontId="0" fillId="0" borderId="0" xfId="0"/>
    <xf numFmtId="0" fontId="0" fillId="0" borderId="0" xfId="0" applyAlignment="1">
      <alignment horizontal="center"/>
    </xf>
    <xf numFmtId="0" fontId="1" fillId="0" borderId="1" xfId="0" applyFont="1" applyBorder="1" applyAlignment="1">
      <alignment horizontal="center"/>
    </xf>
    <xf numFmtId="0" fontId="1" fillId="8" borderId="0" xfId="0" applyFont="1" applyFill="1"/>
    <xf numFmtId="1" fontId="14" fillId="0" borderId="13" xfId="0" applyNumberFormat="1" applyFont="1" applyBorder="1" applyAlignment="1">
      <alignment horizontal="center" wrapText="1"/>
    </xf>
    <xf numFmtId="0" fontId="13" fillId="0" borderId="5" xfId="0" applyFont="1" applyBorder="1" applyAlignment="1">
      <alignment horizontal="center" wrapText="1"/>
    </xf>
    <xf numFmtId="1" fontId="14" fillId="4" borderId="5" xfId="0" applyNumberFormat="1" applyFont="1" applyFill="1" applyBorder="1" applyAlignment="1">
      <alignment horizontal="center" wrapText="1"/>
    </xf>
    <xf numFmtId="1" fontId="13" fillId="0" borderId="5" xfId="0" applyNumberFormat="1" applyFont="1" applyBorder="1" applyAlignment="1">
      <alignment horizontal="center" wrapText="1"/>
    </xf>
    <xf numFmtId="1" fontId="15" fillId="5" borderId="5" xfId="0" applyNumberFormat="1" applyFont="1" applyFill="1" applyBorder="1" applyAlignment="1">
      <alignment horizontal="center" wrapText="1"/>
    </xf>
    <xf numFmtId="0" fontId="13" fillId="0" borderId="0" xfId="0" applyFont="1"/>
    <xf numFmtId="0" fontId="0" fillId="0" borderId="0" xfId="0" applyAlignment="1">
      <alignment wrapText="1"/>
    </xf>
    <xf numFmtId="0" fontId="9" fillId="10" borderId="9" xfId="2" applyFont="1" applyFill="1" applyBorder="1" applyAlignment="1">
      <alignment horizontal="center" vertical="center" wrapText="1"/>
    </xf>
    <xf numFmtId="0" fontId="9" fillId="10" borderId="11" xfId="2" applyFont="1" applyFill="1" applyBorder="1" applyAlignment="1">
      <alignment horizontal="center" vertical="center" wrapText="1"/>
    </xf>
    <xf numFmtId="1" fontId="9" fillId="10" borderId="11" xfId="2" applyNumberFormat="1" applyFont="1" applyFill="1" applyBorder="1" applyAlignment="1">
      <alignment horizontal="center" vertical="center" wrapText="1"/>
    </xf>
    <xf numFmtId="0" fontId="9" fillId="10" borderId="10" xfId="2" applyFont="1" applyFill="1" applyBorder="1" applyAlignment="1">
      <alignment horizontal="center" vertical="center" wrapText="1"/>
    </xf>
    <xf numFmtId="0" fontId="7" fillId="0" borderId="0" xfId="2" applyFont="1" applyAlignment="1">
      <alignment wrapText="1"/>
    </xf>
    <xf numFmtId="0" fontId="8" fillId="0" borderId="0" xfId="2" applyFont="1" applyAlignment="1">
      <alignment wrapText="1"/>
    </xf>
    <xf numFmtId="0" fontId="12" fillId="0" borderId="0" xfId="0" applyFont="1" applyAlignment="1">
      <alignment wrapText="1"/>
    </xf>
    <xf numFmtId="1" fontId="0" fillId="0" borderId="0" xfId="0" applyNumberFormat="1" applyAlignment="1">
      <alignment wrapText="1"/>
    </xf>
    <xf numFmtId="9" fontId="3" fillId="0" borderId="5" xfId="0" applyNumberFormat="1" applyFont="1" applyBorder="1" applyAlignment="1">
      <alignment horizontal="center"/>
    </xf>
    <xf numFmtId="0" fontId="3" fillId="0" borderId="5" xfId="0" applyFont="1" applyBorder="1" applyAlignment="1">
      <alignment horizontal="center"/>
    </xf>
    <xf numFmtId="9" fontId="13" fillId="0" borderId="5" xfId="1" applyFont="1" applyBorder="1" applyAlignment="1">
      <alignment horizontal="center"/>
    </xf>
    <xf numFmtId="1" fontId="13" fillId="0" borderId="5" xfId="0" applyNumberFormat="1" applyFont="1" applyBorder="1" applyAlignment="1">
      <alignment horizontal="center"/>
    </xf>
    <xf numFmtId="0" fontId="13" fillId="0" borderId="5" xfId="0" applyFont="1" applyBorder="1" applyAlignment="1">
      <alignment horizontal="center"/>
    </xf>
    <xf numFmtId="0" fontId="11" fillId="0" borderId="13" xfId="0" applyFont="1" applyBorder="1" applyAlignment="1">
      <alignment horizontal="left" wrapText="1"/>
    </xf>
    <xf numFmtId="9" fontId="0" fillId="0" borderId="0" xfId="0" applyNumberFormat="1"/>
    <xf numFmtId="0" fontId="0" fillId="3" borderId="1" xfId="0" applyFill="1" applyBorder="1" applyAlignment="1">
      <alignment horizontal="center"/>
    </xf>
    <xf numFmtId="0" fontId="0" fillId="3" borderId="2" xfId="0" applyFill="1" applyBorder="1" applyAlignment="1">
      <alignment horizontal="center"/>
    </xf>
    <xf numFmtId="1" fontId="0" fillId="3" borderId="4" xfId="0" applyNumberFormat="1" applyFill="1" applyBorder="1" applyAlignment="1">
      <alignment horizontal="center"/>
    </xf>
    <xf numFmtId="1" fontId="1" fillId="3" borderId="1" xfId="0" applyNumberFormat="1" applyFont="1" applyFill="1" applyBorder="1" applyAlignment="1">
      <alignment horizontal="center"/>
    </xf>
    <xf numFmtId="1" fontId="0" fillId="3" borderId="1" xfId="0" applyNumberFormat="1" applyFill="1" applyBorder="1" applyAlignment="1">
      <alignment horizontal="center"/>
    </xf>
    <xf numFmtId="165" fontId="0" fillId="3" borderId="1" xfId="1" applyNumberFormat="1" applyFont="1" applyFill="1" applyBorder="1" applyAlignment="1">
      <alignment horizontal="center"/>
    </xf>
    <xf numFmtId="10" fontId="0" fillId="3" borderId="1" xfId="1" applyNumberFormat="1" applyFont="1" applyFill="1" applyBorder="1" applyAlignment="1">
      <alignment horizontal="center"/>
    </xf>
    <xf numFmtId="9"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xf>
    <xf numFmtId="10" fontId="13" fillId="0" borderId="0" xfId="1" applyNumberFormat="1" applyFont="1"/>
    <xf numFmtId="0" fontId="1" fillId="7" borderId="14" xfId="0" applyFont="1" applyFill="1" applyBorder="1"/>
    <xf numFmtId="0" fontId="0" fillId="7" borderId="15" xfId="0" applyFill="1" applyBorder="1"/>
    <xf numFmtId="0" fontId="0" fillId="7" borderId="16" xfId="0" applyFill="1" applyBorder="1"/>
    <xf numFmtId="0" fontId="1" fillId="7" borderId="15"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10" fontId="0" fillId="0" borderId="5" xfId="0" applyNumberFormat="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center" vertical="center" wrapText="1"/>
    </xf>
    <xf numFmtId="9" fontId="19"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6" fillId="11" borderId="17" xfId="0" applyFont="1" applyFill="1" applyBorder="1" applyAlignment="1">
      <alignment horizontal="center" vertical="center" wrapText="1"/>
    </xf>
    <xf numFmtId="0" fontId="0" fillId="11" borderId="17" xfId="0" applyFill="1" applyBorder="1"/>
    <xf numFmtId="0" fontId="0" fillId="11" borderId="18" xfId="0" applyFill="1" applyBorder="1"/>
    <xf numFmtId="0" fontId="0" fillId="11" borderId="0" xfId="0" applyFill="1" applyAlignment="1">
      <alignment horizontal="center"/>
    </xf>
    <xf numFmtId="0" fontId="0" fillId="11" borderId="12" xfId="0" applyFill="1" applyBorder="1"/>
    <xf numFmtId="0" fontId="17" fillId="11" borderId="0" xfId="0" applyFont="1" applyFill="1" applyAlignment="1">
      <alignment horizontal="center" vertical="center" wrapText="1"/>
    </xf>
    <xf numFmtId="0" fontId="0" fillId="11" borderId="19" xfId="0" applyFill="1" applyBorder="1" applyAlignment="1">
      <alignment horizontal="center"/>
    </xf>
    <xf numFmtId="0" fontId="0" fillId="11" borderId="20" xfId="0" applyFill="1" applyBorder="1"/>
    <xf numFmtId="0" fontId="0" fillId="12" borderId="17" xfId="0" applyFill="1" applyBorder="1"/>
    <xf numFmtId="0" fontId="0" fillId="12" borderId="0" xfId="0" applyFill="1"/>
    <xf numFmtId="0" fontId="0" fillId="12" borderId="17" xfId="0" applyFill="1" applyBorder="1" applyAlignment="1">
      <alignment horizontal="left" vertical="center" wrapText="1"/>
    </xf>
    <xf numFmtId="0" fontId="0" fillId="12" borderId="17" xfId="0" applyFill="1" applyBorder="1" applyAlignment="1">
      <alignment horizontal="left"/>
    </xf>
    <xf numFmtId="0" fontId="0" fillId="12" borderId="18" xfId="0" applyFill="1" applyBorder="1"/>
    <xf numFmtId="0" fontId="0" fillId="12" borderId="19" xfId="0" applyFill="1" applyBorder="1"/>
    <xf numFmtId="0" fontId="0" fillId="12" borderId="12" xfId="0" applyFill="1" applyBorder="1"/>
    <xf numFmtId="0" fontId="0" fillId="12" borderId="20" xfId="0" applyFill="1" applyBorder="1"/>
    <xf numFmtId="0" fontId="4" fillId="11" borderId="18" xfId="0" applyFont="1" applyFill="1" applyBorder="1" applyAlignment="1">
      <alignment horizontal="right"/>
    </xf>
    <xf numFmtId="0" fontId="0" fillId="11" borderId="0" xfId="0" applyFill="1"/>
    <xf numFmtId="0" fontId="0" fillId="11" borderId="19" xfId="0" applyFill="1" applyBorder="1"/>
    <xf numFmtId="0" fontId="4" fillId="11" borderId="19" xfId="0" applyFont="1" applyFill="1" applyBorder="1" applyAlignment="1">
      <alignment horizontal="right"/>
    </xf>
    <xf numFmtId="0" fontId="5" fillId="0" borderId="6" xfId="0" applyFont="1" applyBorder="1" applyAlignment="1">
      <alignment wrapText="1"/>
    </xf>
    <xf numFmtId="0" fontId="5" fillId="0" borderId="5" xfId="0" applyFont="1" applyBorder="1" applyAlignment="1">
      <alignment wrapText="1"/>
    </xf>
    <xf numFmtId="0" fontId="4" fillId="11" borderId="17" xfId="0" applyFont="1" applyFill="1" applyBorder="1"/>
    <xf numFmtId="0" fontId="4" fillId="11" borderId="0" xfId="0" applyFont="1" applyFill="1" applyAlignment="1">
      <alignment horizontal="center"/>
    </xf>
    <xf numFmtId="0" fontId="0" fillId="6" borderId="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3" xfId="0" applyFill="1" applyBorder="1" applyAlignment="1" applyProtection="1">
      <alignment horizontal="center"/>
      <protection locked="0"/>
    </xf>
    <xf numFmtId="10" fontId="0" fillId="6" borderId="1" xfId="1" applyNumberFormat="1" applyFont="1" applyFill="1" applyBorder="1" applyAlignment="1" applyProtection="1">
      <alignment horizontal="center"/>
      <protection locked="0"/>
    </xf>
    <xf numFmtId="0" fontId="22" fillId="0" borderId="0" xfId="0" applyFont="1" applyAlignment="1">
      <alignment horizontal="center"/>
    </xf>
    <xf numFmtId="0" fontId="23" fillId="0" borderId="0" xfId="0" applyFont="1" applyAlignment="1">
      <alignment horizontal="left"/>
    </xf>
    <xf numFmtId="0" fontId="0" fillId="6" borderId="5" xfId="0" applyFill="1" applyBorder="1" applyAlignment="1" applyProtection="1">
      <alignment horizontal="center"/>
      <protection locked="0"/>
    </xf>
    <xf numFmtId="0" fontId="24" fillId="0" borderId="0" xfId="0" applyFont="1"/>
    <xf numFmtId="0" fontId="24" fillId="2" borderId="0" xfId="0" applyFont="1" applyFill="1"/>
    <xf numFmtId="0" fontId="0" fillId="0" borderId="0" xfId="0" applyAlignment="1">
      <alignment vertical="center" wrapText="1"/>
    </xf>
    <xf numFmtId="0" fontId="0" fillId="2" borderId="0" xfId="0" applyFill="1"/>
    <xf numFmtId="0" fontId="26" fillId="2" borderId="0" xfId="0" applyFont="1" applyFill="1"/>
    <xf numFmtId="0" fontId="24" fillId="2" borderId="0" xfId="0" applyFont="1" applyFill="1" applyAlignment="1">
      <alignment vertical="center" wrapText="1"/>
    </xf>
    <xf numFmtId="0" fontId="1" fillId="14" borderId="0" xfId="0" applyFont="1" applyFill="1" applyAlignment="1">
      <alignment vertical="center" wrapText="1"/>
    </xf>
    <xf numFmtId="0" fontId="1" fillId="15" borderId="0" xfId="0" applyFont="1" applyFill="1"/>
    <xf numFmtId="0" fontId="0" fillId="15" borderId="0" xfId="0" applyFill="1"/>
    <xf numFmtId="0" fontId="0" fillId="15" borderId="0" xfId="0" applyFill="1" applyAlignment="1">
      <alignment vertical="center" wrapText="1"/>
    </xf>
    <xf numFmtId="0" fontId="25" fillId="0" borderId="0" xfId="0" applyFont="1"/>
    <xf numFmtId="0" fontId="27" fillId="0" borderId="0" xfId="0" applyFont="1"/>
    <xf numFmtId="9" fontId="0" fillId="3" borderId="1" xfId="1" applyFont="1" applyFill="1" applyBorder="1" applyAlignment="1">
      <alignment horizontal="center" vertical="center"/>
    </xf>
    <xf numFmtId="0" fontId="1" fillId="7" borderId="0" xfId="0" applyFont="1" applyFill="1"/>
    <xf numFmtId="0" fontId="28" fillId="0" borderId="0" xfId="37" applyAlignment="1">
      <alignment vertical="center" wrapText="1"/>
    </xf>
    <xf numFmtId="0" fontId="0" fillId="0" borderId="6" xfId="0" applyBorder="1" applyAlignment="1">
      <alignment wrapText="1"/>
    </xf>
    <xf numFmtId="0" fontId="11" fillId="4" borderId="6" xfId="0" applyFont="1" applyFill="1" applyBorder="1" applyAlignment="1">
      <alignment wrapText="1"/>
    </xf>
    <xf numFmtId="0" fontId="10" fillId="5" borderId="6" xfId="0" applyFont="1" applyFill="1" applyBorder="1" applyAlignment="1">
      <alignment wrapText="1"/>
    </xf>
    <xf numFmtId="1" fontId="13" fillId="0" borderId="7" xfId="0" applyNumberFormat="1" applyFont="1" applyBorder="1" applyAlignment="1">
      <alignment horizontal="center" wrapText="1"/>
    </xf>
    <xf numFmtId="1" fontId="14" fillId="4" borderId="7" xfId="0" applyNumberFormat="1" applyFont="1" applyFill="1" applyBorder="1" applyAlignment="1">
      <alignment horizontal="center" wrapText="1"/>
    </xf>
    <xf numFmtId="0" fontId="13" fillId="0" borderId="7" xfId="0" applyFont="1" applyBorder="1" applyAlignment="1">
      <alignment horizontal="center" wrapText="1"/>
    </xf>
    <xf numFmtId="1" fontId="15" fillId="5" borderId="7" xfId="0" applyNumberFormat="1" applyFont="1" applyFill="1" applyBorder="1" applyAlignment="1">
      <alignment horizontal="center" wrapText="1"/>
    </xf>
    <xf numFmtId="1" fontId="13" fillId="0" borderId="7" xfId="0" applyNumberFormat="1" applyFont="1" applyBorder="1" applyAlignment="1">
      <alignment horizontal="center"/>
    </xf>
    <xf numFmtId="9" fontId="13" fillId="0" borderId="7" xfId="1" applyFont="1" applyBorder="1" applyAlignment="1">
      <alignment horizontal="center"/>
    </xf>
    <xf numFmtId="0" fontId="13" fillId="0" borderId="7" xfId="0" applyFont="1" applyBorder="1" applyAlignment="1">
      <alignment horizontal="center"/>
    </xf>
    <xf numFmtId="165" fontId="13" fillId="0" borderId="7" xfId="1" applyNumberFormat="1" applyFont="1" applyBorder="1" applyAlignment="1">
      <alignment horizontal="center"/>
    </xf>
    <xf numFmtId="0" fontId="0" fillId="0" borderId="5" xfId="0" applyBorder="1" applyAlignment="1">
      <alignment wrapText="1"/>
    </xf>
    <xf numFmtId="0" fontId="11" fillId="4" borderId="5" xfId="0" applyFont="1" applyFill="1" applyBorder="1" applyAlignment="1">
      <alignment wrapText="1"/>
    </xf>
    <xf numFmtId="0" fontId="11" fillId="0" borderId="5" xfId="0" applyFont="1" applyBorder="1" applyAlignment="1">
      <alignment horizontal="left" wrapText="1"/>
    </xf>
    <xf numFmtId="0" fontId="10" fillId="5" borderId="5" xfId="0" applyFont="1" applyFill="1" applyBorder="1" applyAlignment="1">
      <alignment wrapText="1"/>
    </xf>
    <xf numFmtId="0" fontId="0" fillId="6" borderId="4" xfId="0" applyFill="1" applyBorder="1" applyAlignment="1" applyProtection="1">
      <alignment horizontal="center"/>
      <protection locked="0"/>
    </xf>
    <xf numFmtId="0" fontId="31" fillId="0" borderId="0" xfId="0" applyFont="1" applyAlignment="1">
      <alignment horizontal="center"/>
    </xf>
    <xf numFmtId="0" fontId="30" fillId="0" borderId="0" xfId="0" applyFont="1"/>
    <xf numFmtId="0" fontId="18" fillId="0" borderId="5" xfId="0" applyFont="1" applyBorder="1" applyAlignment="1">
      <alignment horizontal="center" vertical="center" wrapText="1"/>
    </xf>
    <xf numFmtId="0" fontId="0" fillId="0" borderId="5" xfId="0" applyBorder="1" applyAlignment="1">
      <alignment horizontal="center"/>
    </xf>
    <xf numFmtId="0" fontId="17" fillId="11" borderId="12" xfId="0" applyFont="1" applyFill="1" applyBorder="1" applyAlignment="1">
      <alignment horizontal="center" vertical="center" wrapText="1"/>
    </xf>
    <xf numFmtId="10" fontId="0" fillId="16" borderId="20" xfId="0" applyNumberFormat="1" applyFill="1" applyBorder="1" applyAlignment="1">
      <alignment horizontal="center"/>
    </xf>
    <xf numFmtId="0" fontId="0" fillId="15" borderId="6" xfId="0" applyFill="1" applyBorder="1" applyAlignment="1">
      <alignment wrapText="1"/>
    </xf>
    <xf numFmtId="0" fontId="0" fillId="15" borderId="5" xfId="0" applyFill="1" applyBorder="1" applyAlignment="1">
      <alignment wrapText="1"/>
    </xf>
    <xf numFmtId="1" fontId="13" fillId="15" borderId="5" xfId="0" applyNumberFormat="1" applyFont="1" applyFill="1" applyBorder="1" applyAlignment="1">
      <alignment horizontal="center" wrapText="1"/>
    </xf>
    <xf numFmtId="10" fontId="0" fillId="3" borderId="1" xfId="0" applyNumberFormat="1" applyFill="1" applyBorder="1" applyAlignment="1">
      <alignment horizontal="center"/>
    </xf>
    <xf numFmtId="0" fontId="18" fillId="0" borderId="17"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17" xfId="0" applyBorder="1"/>
    <xf numFmtId="0" fontId="0" fillId="0" borderId="12" xfId="0" applyBorder="1"/>
    <xf numFmtId="0" fontId="0" fillId="6" borderId="1" xfId="0" applyFill="1" applyBorder="1" applyAlignment="1">
      <alignment horizontal="center" vertical="center"/>
    </xf>
    <xf numFmtId="10" fontId="0" fillId="16" borderId="1" xfId="0" applyNumberFormat="1" applyFill="1" applyBorder="1" applyAlignment="1">
      <alignment horizontal="center"/>
    </xf>
    <xf numFmtId="9" fontId="3" fillId="12" borderId="12" xfId="1" applyFont="1" applyFill="1" applyBorder="1" applyAlignment="1">
      <alignment horizontal="center"/>
    </xf>
    <xf numFmtId="0" fontId="32" fillId="0" borderId="0" xfId="0" applyFont="1" applyAlignment="1">
      <alignment vertical="center"/>
    </xf>
    <xf numFmtId="0" fontId="33" fillId="0" borderId="24" xfId="0" applyFont="1" applyBorder="1" applyAlignment="1">
      <alignment vertical="center" wrapText="1"/>
    </xf>
    <xf numFmtId="0" fontId="24" fillId="0" borderId="25" xfId="0" applyFont="1" applyBorder="1" applyAlignment="1">
      <alignment horizontal="left" vertical="center" wrapText="1"/>
    </xf>
    <xf numFmtId="0" fontId="33" fillId="0" borderId="26" xfId="0" applyFont="1" applyBorder="1" applyAlignment="1">
      <alignment vertical="center" wrapText="1"/>
    </xf>
    <xf numFmtId="0" fontId="33" fillId="0" borderId="27" xfId="0" applyFont="1" applyBorder="1" applyAlignment="1">
      <alignment vertical="center" wrapText="1"/>
    </xf>
    <xf numFmtId="0" fontId="24" fillId="0" borderId="27" xfId="0" applyFont="1" applyBorder="1" applyAlignment="1">
      <alignment horizontal="justify" vertical="center" wrapText="1"/>
    </xf>
    <xf numFmtId="0" fontId="36" fillId="0" borderId="27" xfId="0" applyFont="1" applyBorder="1" applyAlignment="1">
      <alignment horizontal="center" vertical="center" wrapText="1"/>
    </xf>
    <xf numFmtId="17" fontId="37" fillId="0" borderId="27" xfId="0" applyNumberFormat="1" applyFont="1" applyBorder="1" applyAlignment="1">
      <alignment horizontal="justify" vertical="center"/>
    </xf>
    <xf numFmtId="10" fontId="0" fillId="6" borderId="1" xfId="1" applyNumberFormat="1" applyFont="1" applyFill="1" applyBorder="1" applyAlignment="1" applyProtection="1">
      <alignment horizontal="center" vertical="center" wrapText="1"/>
      <protection locked="0"/>
    </xf>
    <xf numFmtId="0" fontId="35" fillId="0" borderId="0" xfId="0" applyFont="1" applyAlignment="1">
      <alignment horizontal="left"/>
    </xf>
    <xf numFmtId="0" fontId="24" fillId="0" borderId="31" xfId="0" applyFont="1" applyBorder="1" applyAlignment="1">
      <alignment vertical="center" wrapText="1"/>
    </xf>
    <xf numFmtId="0" fontId="24" fillId="0" borderId="25" xfId="0" applyFont="1" applyBorder="1" applyAlignment="1">
      <alignment vertical="center" wrapText="1"/>
    </xf>
    <xf numFmtId="0" fontId="34" fillId="0" borderId="31" xfId="0" applyFont="1" applyBorder="1" applyAlignment="1">
      <alignment vertical="center" wrapText="1"/>
    </xf>
    <xf numFmtId="0" fontId="34" fillId="0" borderId="25" xfId="0" applyFont="1" applyBorder="1" applyAlignment="1">
      <alignment vertical="center" wrapText="1"/>
    </xf>
    <xf numFmtId="0" fontId="33" fillId="0" borderId="32" xfId="0" applyFont="1" applyBorder="1" applyAlignment="1">
      <alignment vertical="center" wrapText="1"/>
    </xf>
    <xf numFmtId="0" fontId="33" fillId="0" borderId="29" xfId="0" applyFont="1" applyBorder="1" applyAlignment="1">
      <alignment vertical="center" wrapText="1"/>
    </xf>
    <xf numFmtId="0" fontId="33" fillId="0" borderId="26" xfId="0" applyFont="1" applyBorder="1" applyAlignment="1">
      <alignment vertical="center" wrapText="1"/>
    </xf>
    <xf numFmtId="0" fontId="28" fillId="0" borderId="33" xfId="37" applyBorder="1" applyAlignment="1">
      <alignment horizontal="justify" vertical="center" wrapText="1"/>
    </xf>
    <xf numFmtId="0" fontId="28" fillId="0" borderId="34" xfId="37" applyBorder="1" applyAlignment="1">
      <alignment horizontal="justify" vertical="center" wrapText="1"/>
    </xf>
    <xf numFmtId="0" fontId="28" fillId="0" borderId="35" xfId="37" applyBorder="1" applyAlignment="1">
      <alignment horizontal="justify" vertical="center" wrapText="1"/>
    </xf>
    <xf numFmtId="0" fontId="28" fillId="0" borderId="36" xfId="37" applyBorder="1" applyAlignment="1">
      <alignment horizontal="justify" vertical="center" wrapText="1"/>
    </xf>
    <xf numFmtId="0" fontId="28" fillId="0" borderId="0" xfId="37" applyAlignment="1">
      <alignment horizontal="justify" vertical="center" wrapText="1"/>
    </xf>
    <xf numFmtId="0" fontId="28" fillId="0" borderId="30" xfId="37" applyBorder="1" applyAlignment="1">
      <alignment horizontal="justify" vertical="center" wrapText="1"/>
    </xf>
    <xf numFmtId="0" fontId="0" fillId="0" borderId="37" xfId="0" applyBorder="1" applyAlignment="1">
      <alignment horizontal="justify" vertical="center" wrapText="1"/>
    </xf>
    <xf numFmtId="0" fontId="0" fillId="0" borderId="28" xfId="0" applyBorder="1" applyAlignment="1">
      <alignment horizontal="justify" vertical="center" wrapText="1"/>
    </xf>
    <xf numFmtId="0" fontId="0" fillId="0" borderId="27" xfId="0" applyBorder="1" applyAlignment="1">
      <alignment horizontal="justify" vertical="center" wrapText="1"/>
    </xf>
    <xf numFmtId="0" fontId="0" fillId="0" borderId="0" xfId="0" applyAlignment="1">
      <alignment horizontal="left" vertical="top" wrapText="1"/>
    </xf>
    <xf numFmtId="0" fontId="1" fillId="2" borderId="0" xfId="0" applyFont="1" applyFill="1" applyAlignment="1">
      <alignment horizontal="center" vertical="center"/>
    </xf>
    <xf numFmtId="0" fontId="0" fillId="0" borderId="0" xfId="0" applyAlignment="1">
      <alignment horizontal="left" vertical="center" wrapText="1"/>
    </xf>
    <xf numFmtId="0" fontId="22" fillId="13" borderId="0" xfId="0" applyFont="1" applyFill="1" applyAlignment="1">
      <alignment horizontal="center"/>
    </xf>
    <xf numFmtId="0" fontId="29" fillId="14" borderId="21" xfId="37" applyFont="1" applyFill="1" applyBorder="1" applyAlignment="1">
      <alignment horizontal="center" vertical="center"/>
    </xf>
    <xf numFmtId="0" fontId="29" fillId="14" borderId="22" xfId="37" applyFont="1" applyFill="1" applyBorder="1" applyAlignment="1">
      <alignment horizontal="center" vertical="center"/>
    </xf>
    <xf numFmtId="0" fontId="29" fillId="14" borderId="23" xfId="37" applyFont="1" applyFill="1" applyBorder="1" applyAlignment="1">
      <alignment horizontal="center" vertical="center"/>
    </xf>
    <xf numFmtId="0" fontId="3" fillId="3" borderId="14"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7"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2" xfId="0" applyFont="1" applyFill="1" applyBorder="1" applyAlignment="1">
      <alignment horizontal="center" vertical="top" wrapText="1"/>
    </xf>
    <xf numFmtId="0" fontId="3" fillId="3" borderId="18" xfId="0" applyFont="1" applyFill="1" applyBorder="1" applyAlignment="1">
      <alignment horizontal="center" vertical="top" wrapText="1"/>
    </xf>
    <xf numFmtId="0" fontId="3" fillId="3" borderId="19" xfId="0" applyFont="1" applyFill="1" applyBorder="1" applyAlignment="1">
      <alignment horizontal="center" vertical="top" wrapText="1"/>
    </xf>
    <xf numFmtId="0" fontId="3" fillId="3" borderId="20" xfId="0" applyFont="1" applyFill="1" applyBorder="1" applyAlignment="1">
      <alignment horizontal="center" vertical="top" wrapText="1"/>
    </xf>
  </cellXfs>
  <cellStyles count="38">
    <cellStyle name="Active" xfId="3" xr:uid="{00000000-0005-0000-0000-000000000000}"/>
    <cellStyle name="Euro" xfId="4" xr:uid="{00000000-0005-0000-0000-000001000000}"/>
    <cellStyle name="Lien hypertexte" xfId="37" builtinId="8"/>
    <cellStyle name="Milliers 2" xfId="5" xr:uid="{00000000-0005-0000-0000-000003000000}"/>
    <cellStyle name="Milliers 2 2" xfId="14" xr:uid="{00000000-0005-0000-0000-000004000000}"/>
    <cellStyle name="Milliers 2 2 2" xfId="30" xr:uid="{00000000-0005-0000-0000-000005000000}"/>
    <cellStyle name="Milliers 2 3" xfId="9" xr:uid="{00000000-0005-0000-0000-000006000000}"/>
    <cellStyle name="Milliers 2 3 2" xfId="25" xr:uid="{00000000-0005-0000-0000-000007000000}"/>
    <cellStyle name="Milliers 2 4" xfId="23" xr:uid="{00000000-0005-0000-0000-000008000000}"/>
    <cellStyle name="Normal" xfId="0" builtinId="0"/>
    <cellStyle name="Normal 2" xfId="6" xr:uid="{00000000-0005-0000-0000-00000A000000}"/>
    <cellStyle name="Normal 3" xfId="7" xr:uid="{00000000-0005-0000-0000-00000B000000}"/>
    <cellStyle name="Normal 4" xfId="2" xr:uid="{00000000-0005-0000-0000-00000C000000}"/>
    <cellStyle name="Normal 4 2" xfId="15" xr:uid="{00000000-0005-0000-0000-00000D000000}"/>
    <cellStyle name="Normal 4 2 2" xfId="31" xr:uid="{00000000-0005-0000-0000-00000E000000}"/>
    <cellStyle name="Normal 4 3" xfId="10" xr:uid="{00000000-0005-0000-0000-00000F000000}"/>
    <cellStyle name="Normal 4 3 2" xfId="26" xr:uid="{00000000-0005-0000-0000-000010000000}"/>
    <cellStyle name="Normal 4 4" xfId="22" xr:uid="{00000000-0005-0000-0000-000011000000}"/>
    <cellStyle name="Normal 5" xfId="12" xr:uid="{00000000-0005-0000-0000-000012000000}"/>
    <cellStyle name="Normal 5 2" xfId="17" xr:uid="{00000000-0005-0000-0000-000013000000}"/>
    <cellStyle name="Normal 5 2 2" xfId="33" xr:uid="{00000000-0005-0000-0000-000014000000}"/>
    <cellStyle name="Normal 5 3" xfId="28" xr:uid="{00000000-0005-0000-0000-000015000000}"/>
    <cellStyle name="Normal 6" xfId="19" xr:uid="{00000000-0005-0000-0000-000016000000}"/>
    <cellStyle name="Normal 7" xfId="20" xr:uid="{00000000-0005-0000-0000-000017000000}"/>
    <cellStyle name="Normal 8" xfId="36" xr:uid="{00000000-0005-0000-0000-000018000000}"/>
    <cellStyle name="Pourcentage" xfId="1" builtinId="5"/>
    <cellStyle name="Pourcentage 2" xfId="8" xr:uid="{00000000-0005-0000-0000-00001A000000}"/>
    <cellStyle name="Pourcentage 2 2" xfId="16" xr:uid="{00000000-0005-0000-0000-00001B000000}"/>
    <cellStyle name="Pourcentage 2 2 2" xfId="32" xr:uid="{00000000-0005-0000-0000-00001C000000}"/>
    <cellStyle name="Pourcentage 2 3" xfId="11" xr:uid="{00000000-0005-0000-0000-00001D000000}"/>
    <cellStyle name="Pourcentage 2 3 2" xfId="27" xr:uid="{00000000-0005-0000-0000-00001E000000}"/>
    <cellStyle name="Pourcentage 2 4" xfId="24" xr:uid="{00000000-0005-0000-0000-00001F000000}"/>
    <cellStyle name="Pourcentage 3" xfId="13" xr:uid="{00000000-0005-0000-0000-000020000000}"/>
    <cellStyle name="Pourcentage 3 2" xfId="18" xr:uid="{00000000-0005-0000-0000-000021000000}"/>
    <cellStyle name="Pourcentage 3 2 2" xfId="34" xr:uid="{00000000-0005-0000-0000-000022000000}"/>
    <cellStyle name="Pourcentage 3 3" xfId="29" xr:uid="{00000000-0005-0000-0000-000023000000}"/>
    <cellStyle name="Pourcentage 4" xfId="21" xr:uid="{00000000-0005-0000-0000-000024000000}"/>
    <cellStyle name="Pourcentage 5" xfId="35" xr:uid="{00000000-0005-0000-0000-000025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Valeur Actuelle Nette (VAN)</a:t>
            </a:r>
          </a:p>
        </c:rich>
      </c:tx>
      <c:overlay val="1"/>
    </c:title>
    <c:autoTitleDeleted val="0"/>
    <c:plotArea>
      <c:layout>
        <c:manualLayout>
          <c:layoutTarget val="inner"/>
          <c:xMode val="edge"/>
          <c:yMode val="edge"/>
          <c:x val="0.13682174103237096"/>
          <c:y val="0.24121536891221931"/>
          <c:w val="0.83262270341207345"/>
          <c:h val="0.7073840769903762"/>
        </c:manualLayout>
      </c:layout>
      <c:barChart>
        <c:barDir val="col"/>
        <c:grouping val="clustered"/>
        <c:varyColors val="0"/>
        <c:ser>
          <c:idx val="0"/>
          <c:order val="0"/>
          <c:invertIfNegative val="0"/>
          <c:val>
            <c:numRef>
              <c:f>SIG!$C$21:$V$21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913E-401B-8128-0F9797BC6649}"/>
            </c:ext>
          </c:extLst>
        </c:ser>
        <c:dLbls>
          <c:showLegendKey val="0"/>
          <c:showVal val="0"/>
          <c:showCatName val="0"/>
          <c:showSerName val="0"/>
          <c:showPercent val="0"/>
          <c:showBubbleSize val="0"/>
        </c:dLbls>
        <c:gapWidth val="150"/>
        <c:axId val="187274752"/>
        <c:axId val="187276288"/>
      </c:barChart>
      <c:catAx>
        <c:axId val="187274752"/>
        <c:scaling>
          <c:orientation val="minMax"/>
        </c:scaling>
        <c:delete val="0"/>
        <c:axPos val="b"/>
        <c:majorTickMark val="out"/>
        <c:minorTickMark val="none"/>
        <c:tickLblPos val="nextTo"/>
        <c:crossAx val="187276288"/>
        <c:crosses val="autoZero"/>
        <c:auto val="1"/>
        <c:lblAlgn val="ctr"/>
        <c:lblOffset val="100"/>
        <c:noMultiLvlLbl val="0"/>
      </c:catAx>
      <c:valAx>
        <c:axId val="187276288"/>
        <c:scaling>
          <c:orientation val="minMax"/>
        </c:scaling>
        <c:delete val="0"/>
        <c:axPos val="l"/>
        <c:majorGridlines/>
        <c:numFmt formatCode="0" sourceLinked="1"/>
        <c:majorTickMark val="out"/>
        <c:minorTickMark val="none"/>
        <c:tickLblPos val="nextTo"/>
        <c:crossAx val="1872747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Rémunération des dividendes </a:t>
            </a:r>
          </a:p>
          <a:p>
            <a:pPr>
              <a:defRPr/>
            </a:pPr>
            <a:r>
              <a:rPr lang="en-US" sz="1100"/>
              <a:t>(selon hypothèses de distribution de la simulation)</a:t>
            </a:r>
          </a:p>
        </c:rich>
      </c:tx>
      <c:layout>
        <c:manualLayout>
          <c:xMode val="edge"/>
          <c:yMode val="edge"/>
          <c:x val="0.1753888888888889"/>
          <c:y val="0"/>
        </c:manualLayout>
      </c:layout>
      <c:overlay val="1"/>
    </c:title>
    <c:autoTitleDeleted val="0"/>
    <c:plotArea>
      <c:layout>
        <c:manualLayout>
          <c:layoutTarget val="inner"/>
          <c:xMode val="edge"/>
          <c:yMode val="edge"/>
          <c:x val="9.8780183727034121E-2"/>
          <c:y val="0.22732648002333042"/>
          <c:w val="0.87899759405074362"/>
          <c:h val="0.65669364246135897"/>
        </c:manualLayout>
      </c:layout>
      <c:barChart>
        <c:barDir val="col"/>
        <c:grouping val="clustered"/>
        <c:varyColors val="0"/>
        <c:ser>
          <c:idx val="0"/>
          <c:order val="0"/>
          <c:spPr>
            <a:solidFill>
              <a:srgbClr val="FFC000"/>
            </a:solidFill>
          </c:spPr>
          <c:invertIfNegative val="0"/>
          <c:val>
            <c:numRef>
              <c:f>SIG!$C$30:$V$30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D2CC-4B55-876C-ED302D57DCD4}"/>
            </c:ext>
          </c:extLst>
        </c:ser>
        <c:dLbls>
          <c:showLegendKey val="0"/>
          <c:showVal val="0"/>
          <c:showCatName val="0"/>
          <c:showSerName val="0"/>
          <c:showPercent val="0"/>
          <c:showBubbleSize val="0"/>
        </c:dLbls>
        <c:gapWidth val="150"/>
        <c:axId val="187288576"/>
        <c:axId val="206975744"/>
      </c:barChart>
      <c:catAx>
        <c:axId val="187288576"/>
        <c:scaling>
          <c:orientation val="minMax"/>
        </c:scaling>
        <c:delete val="0"/>
        <c:axPos val="b"/>
        <c:majorTickMark val="out"/>
        <c:minorTickMark val="none"/>
        <c:tickLblPos val="nextTo"/>
        <c:crossAx val="206975744"/>
        <c:crosses val="autoZero"/>
        <c:auto val="1"/>
        <c:lblAlgn val="ctr"/>
        <c:lblOffset val="100"/>
        <c:noMultiLvlLbl val="0"/>
      </c:catAx>
      <c:valAx>
        <c:axId val="206975744"/>
        <c:scaling>
          <c:orientation val="minMax"/>
        </c:scaling>
        <c:delete val="0"/>
        <c:axPos val="l"/>
        <c:majorGridlines/>
        <c:numFmt formatCode="0.0%" sourceLinked="1"/>
        <c:majorTickMark val="out"/>
        <c:minorTickMark val="none"/>
        <c:tickLblPos val="nextTo"/>
        <c:crossAx val="1872885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657225</xdr:colOff>
      <xdr:row>1</xdr:row>
      <xdr:rowOff>57150</xdr:rowOff>
    </xdr:from>
    <xdr:to>
      <xdr:col>4</xdr:col>
      <xdr:colOff>1196342</xdr:colOff>
      <xdr:row>1</xdr:row>
      <xdr:rowOff>696075</xdr:rowOff>
    </xdr:to>
    <xdr:pic>
      <xdr:nvPicPr>
        <xdr:cNvPr id="2" name="Image 1121687931">
          <a:extLst>
            <a:ext uri="{FF2B5EF4-FFF2-40B4-BE49-F238E27FC236}">
              <a16:creationId xmlns:a16="http://schemas.microsoft.com/office/drawing/2014/main" id="{D40A125B-E440-2D30-FBBC-BA6E7FB74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266700"/>
          <a:ext cx="1663067" cy="63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1087755</xdr:colOff>
      <xdr:row>3</xdr:row>
      <xdr:rowOff>62865</xdr:rowOff>
    </xdr:from>
    <xdr:to>
      <xdr:col>4</xdr:col>
      <xdr:colOff>739140</xdr:colOff>
      <xdr:row>3</xdr:row>
      <xdr:rowOff>390525</xdr:rowOff>
    </xdr:to>
    <xdr:pic>
      <xdr:nvPicPr>
        <xdr:cNvPr id="3" name="Image 1" descr="CC-by-sa">
          <a:extLst>
            <a:ext uri="{FF2B5EF4-FFF2-40B4-BE49-F238E27FC236}">
              <a16:creationId xmlns:a16="http://schemas.microsoft.com/office/drawing/2014/main" id="{7F321469-EECD-B31F-25B0-882E29BA1A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6030" y="1215390"/>
          <a:ext cx="775335" cy="32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176892</xdr:colOff>
      <xdr:row>11</xdr:row>
      <xdr:rowOff>41925</xdr:rowOff>
    </xdr:from>
    <xdr:to>
      <xdr:col>2</xdr:col>
      <xdr:colOff>6204857</xdr:colOff>
      <xdr:row>32</xdr:row>
      <xdr:rowOff>151959</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13601" t="15069" r="28328" b="11262"/>
        <a:stretch/>
      </xdr:blipFill>
      <xdr:spPr>
        <a:xfrm>
          <a:off x="7402285" y="3198782"/>
          <a:ext cx="6027965" cy="4301034"/>
        </a:xfrm>
        <a:prstGeom prst="rect">
          <a:avLst/>
        </a:prstGeom>
        <a:ln>
          <a:solidFill>
            <a:schemeClr val="tx1"/>
          </a:solidFill>
        </a:ln>
      </xdr:spPr>
    </xdr:pic>
    <xdr:clientData/>
  </xdr:twoCellAnchor>
  <xdr:twoCellAnchor editAs="oneCell">
    <xdr:from>
      <xdr:col>3</xdr:col>
      <xdr:colOff>3970</xdr:colOff>
      <xdr:row>11</xdr:row>
      <xdr:rowOff>67469</xdr:rowOff>
    </xdr:from>
    <xdr:to>
      <xdr:col>3</xdr:col>
      <xdr:colOff>3215746</xdr:colOff>
      <xdr:row>32</xdr:row>
      <xdr:rowOff>99219</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25873" t="16063" r="49392" b="26205"/>
        <a:stretch/>
      </xdr:blipFill>
      <xdr:spPr>
        <a:xfrm>
          <a:off x="13910470" y="3210719"/>
          <a:ext cx="3211776" cy="4222750"/>
        </a:xfrm>
        <a:prstGeom prst="rect">
          <a:avLst/>
        </a:prstGeom>
        <a:ln>
          <a:solidFill>
            <a:schemeClr val="tx1">
              <a:lumMod val="65000"/>
              <a:lumOff val="35000"/>
            </a:schemeClr>
          </a:solidFill>
        </a:ln>
      </xdr:spPr>
    </xdr:pic>
    <xdr:clientData/>
  </xdr:twoCellAnchor>
  <xdr:twoCellAnchor>
    <xdr:from>
      <xdr:col>2</xdr:col>
      <xdr:colOff>2869406</xdr:colOff>
      <xdr:row>30</xdr:row>
      <xdr:rowOff>85725</xdr:rowOff>
    </xdr:from>
    <xdr:to>
      <xdr:col>2</xdr:col>
      <xdr:colOff>3764756</xdr:colOff>
      <xdr:row>32</xdr:row>
      <xdr:rowOff>85725</xdr:rowOff>
    </xdr:to>
    <xdr:sp macro="" textlink="">
      <xdr:nvSpPr>
        <xdr:cNvPr id="5" name="Rectangle à coins arrondis 4">
          <a:extLst>
            <a:ext uri="{FF2B5EF4-FFF2-40B4-BE49-F238E27FC236}">
              <a16:creationId xmlns:a16="http://schemas.microsoft.com/office/drawing/2014/main" id="{00000000-0008-0000-0200-000005000000}"/>
            </a:ext>
          </a:extLst>
        </xdr:cNvPr>
        <xdr:cNvSpPr/>
      </xdr:nvSpPr>
      <xdr:spPr>
        <a:xfrm>
          <a:off x="10084594" y="7038975"/>
          <a:ext cx="895350"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1536436</xdr:colOff>
      <xdr:row>28</xdr:row>
      <xdr:rowOff>34397</xdr:rowOff>
    </xdr:from>
    <xdr:to>
      <xdr:col>3</xdr:col>
      <xdr:colOff>2241286</xdr:colOff>
      <xdr:row>29</xdr:row>
      <xdr:rowOff>70379</xdr:rowOff>
    </xdr:to>
    <xdr:sp macro="" textlink="">
      <xdr:nvSpPr>
        <xdr:cNvPr id="6" name="Rectangle à coins arrondis 5">
          <a:extLst>
            <a:ext uri="{FF2B5EF4-FFF2-40B4-BE49-F238E27FC236}">
              <a16:creationId xmlns:a16="http://schemas.microsoft.com/office/drawing/2014/main" id="{00000000-0008-0000-0200-000006000000}"/>
            </a:ext>
          </a:extLst>
        </xdr:cNvPr>
        <xdr:cNvSpPr/>
      </xdr:nvSpPr>
      <xdr:spPr>
        <a:xfrm>
          <a:off x="15442936" y="6606647"/>
          <a:ext cx="704850" cy="2264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6117167</xdr:colOff>
      <xdr:row>29</xdr:row>
      <xdr:rowOff>95249</xdr:rowOff>
    </xdr:from>
    <xdr:to>
      <xdr:col>2</xdr:col>
      <xdr:colOff>6572251</xdr:colOff>
      <xdr:row>30</xdr:row>
      <xdr:rowOff>118532</xdr:rowOff>
    </xdr:to>
    <xdr:sp macro="" textlink="">
      <xdr:nvSpPr>
        <xdr:cNvPr id="21" name="Flèche droite 20">
          <a:extLst>
            <a:ext uri="{FF2B5EF4-FFF2-40B4-BE49-F238E27FC236}">
              <a16:creationId xmlns:a16="http://schemas.microsoft.com/office/drawing/2014/main" id="{00000000-0008-0000-0200-000015000000}"/>
            </a:ext>
          </a:extLst>
        </xdr:cNvPr>
        <xdr:cNvSpPr/>
      </xdr:nvSpPr>
      <xdr:spPr>
        <a:xfrm>
          <a:off x="13335000" y="6678082"/>
          <a:ext cx="455084" cy="213783"/>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369094</xdr:colOff>
      <xdr:row>12</xdr:row>
      <xdr:rowOff>94695</xdr:rowOff>
    </xdr:from>
    <xdr:to>
      <xdr:col>0</xdr:col>
      <xdr:colOff>6488906</xdr:colOff>
      <xdr:row>33</xdr:row>
      <xdr:rowOff>56601</xdr:rowOff>
    </xdr:to>
    <xdr:pic>
      <xdr:nvPicPr>
        <xdr:cNvPr id="7" name="Image 6">
          <a:extLst>
            <a:ext uri="{FF2B5EF4-FFF2-40B4-BE49-F238E27FC236}">
              <a16:creationId xmlns:a16="http://schemas.microsoft.com/office/drawing/2014/main" id="{37D61438-E047-46CF-977E-E108C3CBBA91}"/>
            </a:ext>
          </a:extLst>
        </xdr:cNvPr>
        <xdr:cNvPicPr>
          <a:picLocks noChangeAspect="1"/>
        </xdr:cNvPicPr>
      </xdr:nvPicPr>
      <xdr:blipFill>
        <a:blip xmlns:r="http://schemas.openxmlformats.org/officeDocument/2006/relationships" r:embed="rId3"/>
        <a:stretch>
          <a:fillRect/>
        </a:stretch>
      </xdr:blipFill>
      <xdr:spPr>
        <a:xfrm>
          <a:off x="369094" y="4035664"/>
          <a:ext cx="6119812" cy="3962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xdr:colOff>
      <xdr:row>0</xdr:row>
      <xdr:rowOff>0</xdr:rowOff>
    </xdr:from>
    <xdr:to>
      <xdr:col>0</xdr:col>
      <xdr:colOff>1200573</xdr:colOff>
      <xdr:row>2</xdr:row>
      <xdr:rowOff>60537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71" t="11302" r="5972" b="9593"/>
        <a:stretch/>
      </xdr:blipFill>
      <xdr:spPr>
        <a:xfrm>
          <a:off x="10583" y="0"/>
          <a:ext cx="1174750" cy="444500"/>
        </a:xfrm>
        <a:prstGeom prst="rect">
          <a:avLst/>
        </a:prstGeom>
      </xdr:spPr>
    </xdr:pic>
    <xdr:clientData/>
  </xdr:twoCellAnchor>
  <xdr:twoCellAnchor>
    <xdr:from>
      <xdr:col>10</xdr:col>
      <xdr:colOff>0</xdr:colOff>
      <xdr:row>3</xdr:row>
      <xdr:rowOff>0</xdr:rowOff>
    </xdr:from>
    <xdr:to>
      <xdr:col>11</xdr:col>
      <xdr:colOff>3810000</xdr:colOff>
      <xdr:row>16</xdr:row>
      <xdr:rowOff>23284</xdr:rowOff>
    </xdr:to>
    <xdr:graphicFrame macro="">
      <xdr:nvGraphicFramePr>
        <xdr:cNvPr id="5" name="Graphique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428625</xdr:colOff>
      <xdr:row>17</xdr:row>
      <xdr:rowOff>83343</xdr:rowOff>
    </xdr:from>
    <xdr:to>
      <xdr:col>11</xdr:col>
      <xdr:colOff>3786187</xdr:colOff>
      <xdr:row>31</xdr:row>
      <xdr:rowOff>4762</xdr:rowOff>
    </xdr:to>
    <xdr:graphicFrame macro="">
      <xdr:nvGraphicFramePr>
        <xdr:cNvPr id="6" name="Graphique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sa/4.0/deed.fr" TargetMode="External"/><Relationship Id="rId1" Type="http://schemas.openxmlformats.org/officeDocument/2006/relationships/hyperlink" Target="http://www.centralesvillageoises.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re.jrc.ec.europa.eu/pvgis/apps4/pvest.ph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E055-2A2B-4FA9-BF9E-753D8DE58E5D}">
  <dimension ref="B1:E9"/>
  <sheetViews>
    <sheetView workbookViewId="0">
      <selection activeCell="G6" sqref="G6"/>
    </sheetView>
  </sheetViews>
  <sheetFormatPr baseColWidth="10" defaultRowHeight="14.4"/>
  <cols>
    <col min="1" max="1" width="3.6640625" customWidth="1"/>
    <col min="2" max="2" width="14.21875" customWidth="1"/>
    <col min="3" max="3" width="61.44140625" customWidth="1"/>
    <col min="4" max="4" width="16.44140625" customWidth="1"/>
    <col min="5" max="5" width="29.109375" customWidth="1"/>
  </cols>
  <sheetData>
    <row r="1" spans="2:5" ht="16.2" thickBot="1">
      <c r="B1" s="128"/>
    </row>
    <row r="2" spans="2:5" ht="58.2" customHeight="1" thickBot="1">
      <c r="B2" s="129" t="s">
        <v>110</v>
      </c>
      <c r="C2" s="130" t="s">
        <v>111</v>
      </c>
      <c r="D2" s="138"/>
      <c r="E2" s="139"/>
    </row>
    <row r="3" spans="2:5" ht="16.2" thickBot="1">
      <c r="B3" s="131" t="s">
        <v>112</v>
      </c>
      <c r="C3" s="135" t="s">
        <v>121</v>
      </c>
      <c r="D3" s="132" t="s">
        <v>113</v>
      </c>
      <c r="E3" s="134" t="s">
        <v>122</v>
      </c>
    </row>
    <row r="4" spans="2:5" ht="34.799999999999997" customHeight="1" thickBot="1">
      <c r="B4" s="131" t="s">
        <v>114</v>
      </c>
      <c r="C4" s="133" t="s">
        <v>115</v>
      </c>
      <c r="D4" s="140"/>
      <c r="E4" s="141"/>
    </row>
    <row r="5" spans="2:5" ht="37.200000000000003" customHeight="1">
      <c r="B5" s="142" t="s">
        <v>116</v>
      </c>
      <c r="C5" s="145" t="s">
        <v>117</v>
      </c>
      <c r="D5" s="146"/>
      <c r="E5" s="147"/>
    </row>
    <row r="6" spans="2:5" ht="25.8" customHeight="1">
      <c r="B6" s="143"/>
      <c r="C6" s="148" t="s">
        <v>118</v>
      </c>
      <c r="D6" s="149"/>
      <c r="E6" s="150"/>
    </row>
    <row r="7" spans="2:5" ht="37.200000000000003" customHeight="1" thickBot="1">
      <c r="B7" s="144"/>
      <c r="C7" s="151" t="s">
        <v>119</v>
      </c>
      <c r="D7" s="152"/>
      <c r="E7" s="153"/>
    </row>
    <row r="9" spans="2:5" ht="15.6">
      <c r="B9" s="137" t="s">
        <v>120</v>
      </c>
      <c r="C9" s="137"/>
      <c r="D9" s="137"/>
    </row>
  </sheetData>
  <mergeCells count="7">
    <mergeCell ref="B9:D9"/>
    <mergeCell ref="D2:E2"/>
    <mergeCell ref="D4:E4"/>
    <mergeCell ref="B5:B7"/>
    <mergeCell ref="C5:E5"/>
    <mergeCell ref="C6:E6"/>
    <mergeCell ref="C7:E7"/>
  </mergeCells>
  <hyperlinks>
    <hyperlink ref="C5" r:id="rId1" display="http://www.centralesvillageoises.fr/" xr:uid="{E08DB73E-1A0B-4507-8EC6-F72B5B46F26F}"/>
    <hyperlink ref="C6" r:id="rId2" display="https://creativecommons.org/licenses/by-sa/4.0/deed.fr" xr:uid="{AEAFC310-C80C-4BA3-A30B-0AC48F33A46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topLeftCell="A30" zoomScale="80" zoomScaleNormal="80" workbookViewId="0">
      <selection activeCell="A7" sqref="A7"/>
    </sheetView>
  </sheetViews>
  <sheetFormatPr baseColWidth="10" defaultRowHeight="14.4"/>
  <cols>
    <col min="1" max="1" width="106.88671875" customWidth="1"/>
    <col min="2" max="2" width="1.44140625" customWidth="1"/>
    <col min="3" max="3" width="100.44140625" style="82" customWidth="1"/>
    <col min="4" max="4" width="51.44140625" customWidth="1"/>
  </cols>
  <sheetData>
    <row r="1" spans="1:15" s="80" customFormat="1" ht="18">
      <c r="A1" s="81" t="s">
        <v>65</v>
      </c>
      <c r="B1" s="81"/>
      <c r="C1" s="85"/>
      <c r="D1" s="85"/>
      <c r="E1"/>
      <c r="F1"/>
      <c r="G1"/>
      <c r="H1"/>
      <c r="I1"/>
      <c r="J1"/>
      <c r="K1"/>
      <c r="L1"/>
      <c r="M1"/>
      <c r="N1"/>
      <c r="O1"/>
    </row>
    <row r="2" spans="1:15" s="80" customFormat="1" ht="18">
      <c r="A2" s="84" t="s">
        <v>64</v>
      </c>
      <c r="B2" s="81"/>
      <c r="C2" s="85"/>
      <c r="D2" s="85"/>
      <c r="E2"/>
      <c r="F2"/>
      <c r="G2"/>
      <c r="H2"/>
      <c r="I2"/>
      <c r="J2"/>
      <c r="K2"/>
      <c r="L2"/>
      <c r="M2"/>
      <c r="N2"/>
      <c r="O2"/>
    </row>
    <row r="3" spans="1:15">
      <c r="A3" s="93" t="s">
        <v>68</v>
      </c>
      <c r="B3" s="83"/>
      <c r="C3" s="86" t="s">
        <v>69</v>
      </c>
      <c r="D3" s="86"/>
    </row>
    <row r="4" spans="1:15" ht="28.8">
      <c r="A4" s="82" t="s">
        <v>67</v>
      </c>
      <c r="B4" s="83"/>
      <c r="C4" s="82" t="s">
        <v>90</v>
      </c>
    </row>
    <row r="5" spans="1:15" ht="28.8">
      <c r="A5" s="82" t="s">
        <v>66</v>
      </c>
      <c r="B5" s="83"/>
      <c r="C5" s="82" t="s">
        <v>70</v>
      </c>
    </row>
    <row r="6" spans="1:15" ht="58.5" customHeight="1">
      <c r="A6" s="82" t="s">
        <v>123</v>
      </c>
      <c r="B6" s="83"/>
      <c r="C6" s="156" t="s">
        <v>72</v>
      </c>
    </row>
    <row r="7" spans="1:15" ht="15" customHeight="1">
      <c r="B7" s="83"/>
      <c r="C7" s="156"/>
    </row>
    <row r="8" spans="1:15" ht="34.5" customHeight="1">
      <c r="A8" s="82" t="s">
        <v>71</v>
      </c>
      <c r="B8" s="83"/>
      <c r="C8" s="156"/>
    </row>
    <row r="9" spans="1:15">
      <c r="B9" s="83"/>
      <c r="C9" s="156"/>
    </row>
    <row r="10" spans="1:15" ht="28.8">
      <c r="A10" s="82" t="s">
        <v>101</v>
      </c>
      <c r="B10" s="83"/>
      <c r="C10" s="94" t="s">
        <v>73</v>
      </c>
      <c r="D10" s="156" t="s">
        <v>91</v>
      </c>
    </row>
    <row r="11" spans="1:15">
      <c r="A11" s="82" t="s">
        <v>89</v>
      </c>
      <c r="B11" s="83"/>
      <c r="C11" s="82" t="s">
        <v>74</v>
      </c>
      <c r="D11" s="156"/>
    </row>
    <row r="12" spans="1:15" ht="28.8">
      <c r="A12" s="82" t="s">
        <v>102</v>
      </c>
      <c r="B12" s="83"/>
    </row>
    <row r="13" spans="1:15">
      <c r="B13" s="83"/>
    </row>
    <row r="14" spans="1:15">
      <c r="B14" s="83"/>
    </row>
    <row r="15" spans="1:15">
      <c r="B15" s="83"/>
    </row>
    <row r="16" spans="1:15">
      <c r="B16" s="83"/>
    </row>
    <row r="17" spans="2:2">
      <c r="B17" s="83"/>
    </row>
    <row r="18" spans="2:2">
      <c r="B18" s="83"/>
    </row>
    <row r="19" spans="2:2">
      <c r="B19" s="83"/>
    </row>
    <row r="20" spans="2:2">
      <c r="B20" s="83"/>
    </row>
    <row r="21" spans="2:2">
      <c r="B21" s="83"/>
    </row>
    <row r="22" spans="2:2">
      <c r="B22" s="83"/>
    </row>
    <row r="23" spans="2:2">
      <c r="B23" s="83"/>
    </row>
    <row r="24" spans="2:2">
      <c r="B24" s="83"/>
    </row>
    <row r="25" spans="2:2">
      <c r="B25" s="83"/>
    </row>
    <row r="26" spans="2:2">
      <c r="B26" s="83"/>
    </row>
    <row r="27" spans="2:2">
      <c r="B27" s="83"/>
    </row>
    <row r="28" spans="2:2">
      <c r="B28" s="83"/>
    </row>
    <row r="29" spans="2:2">
      <c r="B29" s="83"/>
    </row>
    <row r="30" spans="2:2">
      <c r="B30" s="83"/>
    </row>
    <row r="31" spans="2:2">
      <c r="B31" s="83"/>
    </row>
    <row r="32" spans="2:2">
      <c r="B32" s="83"/>
    </row>
    <row r="33" spans="1:4">
      <c r="B33" s="83"/>
    </row>
    <row r="34" spans="1:4">
      <c r="B34" s="83"/>
    </row>
    <row r="35" spans="1:4">
      <c r="A35" s="87" t="s">
        <v>75</v>
      </c>
      <c r="B35" s="88"/>
      <c r="C35" s="89"/>
      <c r="D35" s="89"/>
    </row>
    <row r="37" spans="1:4">
      <c r="A37" s="90" t="s">
        <v>76</v>
      </c>
      <c r="C37" s="90" t="s">
        <v>84</v>
      </c>
    </row>
    <row r="38" spans="1:4" ht="62.25" customHeight="1">
      <c r="A38" s="10" t="s">
        <v>82</v>
      </c>
      <c r="C38" s="82" t="s">
        <v>92</v>
      </c>
    </row>
    <row r="39" spans="1:4">
      <c r="A39" t="s">
        <v>78</v>
      </c>
      <c r="C39"/>
    </row>
    <row r="40" spans="1:4">
      <c r="A40" t="s">
        <v>77</v>
      </c>
      <c r="C40" s="90" t="s">
        <v>85</v>
      </c>
    </row>
    <row r="41" spans="1:4" ht="15" customHeight="1">
      <c r="C41" s="156" t="s">
        <v>93</v>
      </c>
    </row>
    <row r="42" spans="1:4">
      <c r="A42" s="90" t="s">
        <v>79</v>
      </c>
      <c r="C42" s="156"/>
    </row>
    <row r="43" spans="1:4" ht="28.8">
      <c r="A43" s="82" t="s">
        <v>80</v>
      </c>
      <c r="C43" s="156"/>
    </row>
    <row r="44" spans="1:4">
      <c r="A44" t="s">
        <v>81</v>
      </c>
      <c r="C44" s="156"/>
    </row>
    <row r="45" spans="1:4">
      <c r="C45" s="156"/>
    </row>
    <row r="46" spans="1:4">
      <c r="A46" s="90" t="s">
        <v>83</v>
      </c>
      <c r="C46" s="156"/>
    </row>
    <row r="47" spans="1:4" ht="15" customHeight="1">
      <c r="A47" s="154" t="s">
        <v>97</v>
      </c>
    </row>
    <row r="48" spans="1:4">
      <c r="A48" s="154"/>
      <c r="C48" s="90" t="s">
        <v>94</v>
      </c>
    </row>
    <row r="49" spans="1:4" ht="43.2">
      <c r="A49" s="154"/>
      <c r="C49" s="82" t="s">
        <v>95</v>
      </c>
    </row>
    <row r="51" spans="1:4">
      <c r="A51" s="155" t="s">
        <v>100</v>
      </c>
      <c r="B51" s="155"/>
      <c r="C51" s="155"/>
      <c r="D51" s="155"/>
    </row>
    <row r="52" spans="1:4">
      <c r="A52" s="155"/>
      <c r="B52" s="155"/>
      <c r="C52" s="155"/>
      <c r="D52" s="155"/>
    </row>
  </sheetData>
  <mergeCells count="5">
    <mergeCell ref="A47:A49"/>
    <mergeCell ref="A51:D52"/>
    <mergeCell ref="D10:D11"/>
    <mergeCell ref="C6:C9"/>
    <mergeCell ref="C41:C46"/>
  </mergeCells>
  <hyperlinks>
    <hyperlink ref="C10" r:id="rId1" xr:uid="{00000000-0004-0000-02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
  <sheetViews>
    <sheetView showGridLines="0" tabSelected="1" zoomScale="90" zoomScaleNormal="90" workbookViewId="0">
      <selection activeCell="D10" sqref="D10"/>
    </sheetView>
  </sheetViews>
  <sheetFormatPr baseColWidth="10" defaultRowHeight="14.4"/>
  <cols>
    <col min="1" max="1" width="37.5546875" customWidth="1"/>
    <col min="2" max="2" width="12.33203125" customWidth="1"/>
    <col min="3" max="3" width="9.5546875" customWidth="1"/>
    <col min="4" max="4" width="14.5546875" customWidth="1"/>
    <col min="5" max="5" width="11.44140625" customWidth="1"/>
    <col min="6" max="6" width="2.6640625" customWidth="1"/>
    <col min="7" max="7" width="19.33203125" customWidth="1"/>
    <col min="8" max="8" width="10.109375" customWidth="1"/>
    <col min="9" max="9" width="11.6640625" customWidth="1"/>
    <col min="10" max="10" width="2.44140625" customWidth="1"/>
    <col min="12" max="12" width="58.5546875" customWidth="1"/>
    <col min="13" max="13" width="5.5546875" hidden="1" customWidth="1"/>
    <col min="14" max="14" width="6.44140625" hidden="1" customWidth="1"/>
    <col min="15" max="15" width="4" hidden="1" customWidth="1"/>
    <col min="16" max="16" width="6.33203125" hidden="1" customWidth="1"/>
  </cols>
  <sheetData>
    <row r="1" spans="1:16" ht="18">
      <c r="A1" s="157" t="s">
        <v>58</v>
      </c>
      <c r="B1" s="157"/>
      <c r="C1" s="157"/>
      <c r="D1" s="157"/>
      <c r="E1" s="157"/>
      <c r="F1" s="157"/>
      <c r="G1" s="157"/>
      <c r="H1" s="157"/>
      <c r="I1" s="157"/>
    </row>
    <row r="2" spans="1:16" ht="12.6" customHeight="1">
      <c r="A2" s="77"/>
      <c r="E2" s="77"/>
      <c r="F2" s="79"/>
      <c r="G2" s="78" t="s">
        <v>57</v>
      </c>
      <c r="H2" s="77"/>
      <c r="P2" s="44">
        <v>2.5000000000000001E-2</v>
      </c>
    </row>
    <row r="3" spans="1:16" ht="15" thickBot="1">
      <c r="P3" s="44">
        <f t="shared" ref="P3:P7" si="0">0.1%+P2</f>
        <v>2.6000000000000002E-2</v>
      </c>
    </row>
    <row r="4" spans="1:16">
      <c r="A4" s="37" t="s">
        <v>0</v>
      </c>
      <c r="B4" s="38"/>
      <c r="C4" s="38"/>
      <c r="D4" s="38"/>
      <c r="E4" s="39"/>
      <c r="G4" s="41" t="s">
        <v>41</v>
      </c>
      <c r="H4" s="42"/>
      <c r="I4" s="43"/>
      <c r="P4" s="44">
        <f t="shared" si="0"/>
        <v>2.7000000000000003E-2</v>
      </c>
    </row>
    <row r="5" spans="1:16" s="46" customFormat="1" ht="36.6" thickBot="1">
      <c r="A5" s="49"/>
      <c r="B5" s="54" t="s">
        <v>1</v>
      </c>
      <c r="C5" s="54" t="s">
        <v>12</v>
      </c>
      <c r="D5" s="54" t="s">
        <v>11</v>
      </c>
      <c r="E5" s="115" t="s">
        <v>16</v>
      </c>
      <c r="F5" s="45"/>
      <c r="G5" s="121"/>
      <c r="I5" s="122"/>
      <c r="M5" s="113">
        <v>0.6</v>
      </c>
      <c r="N5" s="47">
        <v>0</v>
      </c>
      <c r="O5" s="48">
        <v>0</v>
      </c>
      <c r="P5" s="44">
        <f t="shared" si="0"/>
        <v>2.8000000000000004E-2</v>
      </c>
    </row>
    <row r="6" spans="1:16" ht="15" thickBot="1">
      <c r="A6" s="50" t="s">
        <v>61</v>
      </c>
      <c r="B6" s="73"/>
      <c r="C6" s="73"/>
      <c r="D6" s="73">
        <v>8.76</v>
      </c>
      <c r="E6" s="74">
        <v>1.7000000000000004</v>
      </c>
      <c r="G6" s="57" t="s">
        <v>106</v>
      </c>
      <c r="H6" s="127" t="e">
        <f>I6/$B$21</f>
        <v>#DIV/0!</v>
      </c>
      <c r="I6" s="125"/>
      <c r="M6" s="114">
        <f>0.1+M5</f>
        <v>0.7</v>
      </c>
      <c r="N6" s="19">
        <f>5%+N5</f>
        <v>0.05</v>
      </c>
      <c r="O6" s="20">
        <f>1+O5</f>
        <v>1</v>
      </c>
      <c r="P6" s="44">
        <f t="shared" si="0"/>
        <v>2.9000000000000005E-2</v>
      </c>
    </row>
    <row r="7" spans="1:16" ht="15" thickBot="1">
      <c r="A7" s="50" t="s">
        <v>62</v>
      </c>
      <c r="B7" s="73"/>
      <c r="C7" s="74"/>
      <c r="D7" s="74">
        <v>13.02</v>
      </c>
      <c r="E7" s="74">
        <v>1.2</v>
      </c>
      <c r="G7" s="57" t="s">
        <v>107</v>
      </c>
      <c r="H7" s="127" t="e">
        <f>I7/$B$21</f>
        <v>#DIV/0!</v>
      </c>
      <c r="I7" s="74"/>
      <c r="M7" s="114">
        <f t="shared" ref="M7:M17" si="1">0.1+M6</f>
        <v>0.79999999999999993</v>
      </c>
      <c r="N7" s="19">
        <f t="shared" ref="N7:N25" si="2">5%+N6</f>
        <v>0.1</v>
      </c>
      <c r="O7" s="20">
        <f t="shared" ref="O7:O55" si="3">1+O6</f>
        <v>2</v>
      </c>
      <c r="P7" s="44">
        <f t="shared" si="0"/>
        <v>3.0000000000000006E-2</v>
      </c>
    </row>
    <row r="8" spans="1:16" ht="15" thickBot="1">
      <c r="A8" s="50" t="s">
        <v>63</v>
      </c>
      <c r="B8" s="74"/>
      <c r="C8" s="75"/>
      <c r="D8" s="75">
        <v>11.32</v>
      </c>
      <c r="E8" s="74">
        <v>0.99999999999999989</v>
      </c>
      <c r="G8" s="123"/>
      <c r="I8" s="124"/>
      <c r="M8" s="114">
        <f t="shared" si="1"/>
        <v>0.89999999999999991</v>
      </c>
      <c r="N8" s="19">
        <f t="shared" si="2"/>
        <v>0.15000000000000002</v>
      </c>
      <c r="O8" s="20">
        <f t="shared" si="3"/>
        <v>3</v>
      </c>
      <c r="P8" s="44">
        <f t="shared" ref="P8:P32" si="4">0.1%+P7</f>
        <v>3.1000000000000007E-2</v>
      </c>
    </row>
    <row r="9" spans="1:16" ht="15" thickBot="1">
      <c r="A9" s="50" t="s">
        <v>108</v>
      </c>
      <c r="B9" s="74"/>
      <c r="C9" s="75"/>
      <c r="D9" s="75">
        <v>10.52</v>
      </c>
      <c r="E9" s="74">
        <v>0.89999999999999991</v>
      </c>
      <c r="G9" s="57" t="s">
        <v>13</v>
      </c>
      <c r="H9" s="58"/>
      <c r="I9" s="120" t="e">
        <f>102%-I13-I14</f>
        <v>#DIV/0!</v>
      </c>
      <c r="M9" s="114">
        <f t="shared" si="1"/>
        <v>0.99999999999999989</v>
      </c>
      <c r="N9" s="19">
        <f t="shared" si="2"/>
        <v>0.2</v>
      </c>
      <c r="O9" s="20">
        <f t="shared" si="3"/>
        <v>4</v>
      </c>
      <c r="P9" s="44">
        <f t="shared" si="4"/>
        <v>3.2000000000000008E-2</v>
      </c>
    </row>
    <row r="10" spans="1:16" ht="15" thickBot="1">
      <c r="A10" s="71" t="s">
        <v>53</v>
      </c>
      <c r="B10" s="72">
        <f>SUM(B6:B9)</f>
        <v>0</v>
      </c>
      <c r="C10" s="72">
        <f>SUM(C6:C9)</f>
        <v>0</v>
      </c>
      <c r="D10" s="52"/>
      <c r="E10" s="53"/>
      <c r="G10" s="57" t="s">
        <v>15</v>
      </c>
      <c r="H10" s="58"/>
      <c r="I10" s="76">
        <v>3.7000000000000012E-2</v>
      </c>
      <c r="M10" s="114">
        <f t="shared" si="1"/>
        <v>1.0999999999999999</v>
      </c>
      <c r="N10" s="19">
        <f t="shared" si="2"/>
        <v>0.25</v>
      </c>
      <c r="O10" s="20">
        <f t="shared" si="3"/>
        <v>5</v>
      </c>
      <c r="P10" s="44">
        <f t="shared" si="4"/>
        <v>3.3000000000000008E-2</v>
      </c>
    </row>
    <row r="11" spans="1:16" ht="15" thickBot="1">
      <c r="A11" s="51" t="s">
        <v>47</v>
      </c>
      <c r="B11" s="74">
        <v>1100</v>
      </c>
      <c r="C11" s="55"/>
      <c r="D11" s="55"/>
      <c r="E11" s="56"/>
      <c r="G11" s="57" t="s">
        <v>14</v>
      </c>
      <c r="H11" s="58"/>
      <c r="I11" s="75">
        <v>13</v>
      </c>
      <c r="M11" s="114">
        <f t="shared" si="1"/>
        <v>1.2</v>
      </c>
      <c r="N11" s="19">
        <f>5%+N10</f>
        <v>0.3</v>
      </c>
      <c r="O11" s="20">
        <f>1+O10</f>
        <v>6</v>
      </c>
      <c r="P11" s="44">
        <f t="shared" si="4"/>
        <v>3.4000000000000009E-2</v>
      </c>
    </row>
    <row r="12" spans="1:16" ht="15" thickBot="1">
      <c r="B12" s="1"/>
      <c r="C12" s="1"/>
      <c r="D12" s="1"/>
      <c r="G12" s="123"/>
      <c r="I12" s="124"/>
      <c r="M12" s="114">
        <f t="shared" si="1"/>
        <v>1.3</v>
      </c>
      <c r="N12" s="19">
        <f>5%+N11</f>
        <v>0.35</v>
      </c>
      <c r="O12" s="20">
        <f>1+O11</f>
        <v>7</v>
      </c>
      <c r="P12" s="44">
        <f t="shared" si="4"/>
        <v>3.500000000000001E-2</v>
      </c>
    </row>
    <row r="13" spans="1:16" ht="15" thickBot="1">
      <c r="A13" s="37" t="s">
        <v>48</v>
      </c>
      <c r="B13" s="38"/>
      <c r="C13" s="38"/>
      <c r="D13" s="40" t="s">
        <v>49</v>
      </c>
      <c r="E13" s="39"/>
      <c r="G13" s="57" t="s">
        <v>103</v>
      </c>
      <c r="H13" s="63"/>
      <c r="I13" s="126" t="e">
        <f>I6/B21</f>
        <v>#DIV/0!</v>
      </c>
      <c r="M13" s="114">
        <f t="shared" si="1"/>
        <v>1.4000000000000001</v>
      </c>
      <c r="N13" s="19">
        <f>5%+N12</f>
        <v>0.39999999999999997</v>
      </c>
      <c r="O13" s="20">
        <f>1+O12</f>
        <v>8</v>
      </c>
      <c r="P13" s="44">
        <f t="shared" si="4"/>
        <v>3.6000000000000011E-2</v>
      </c>
    </row>
    <row r="14" spans="1:16" ht="15" thickBot="1">
      <c r="A14" s="66"/>
      <c r="B14" s="66"/>
      <c r="C14" s="66"/>
      <c r="D14" s="66" t="s">
        <v>4</v>
      </c>
      <c r="E14" s="27">
        <f>800*B9+500*B8+300*B7+150*B6</f>
        <v>0</v>
      </c>
      <c r="G14" s="57" t="s">
        <v>104</v>
      </c>
      <c r="H14" s="63"/>
      <c r="I14" s="116" t="e">
        <f>subvention/B21</f>
        <v>#DIV/0!</v>
      </c>
      <c r="M14" s="114">
        <f t="shared" si="1"/>
        <v>1.5000000000000002</v>
      </c>
      <c r="N14" s="19">
        <f>5%+N13</f>
        <v>0.44999999999999996</v>
      </c>
      <c r="O14" s="20">
        <f>1+O13</f>
        <v>9</v>
      </c>
      <c r="P14" s="44">
        <f t="shared" si="4"/>
        <v>3.7000000000000012E-2</v>
      </c>
    </row>
    <row r="15" spans="1:16" ht="15" thickBot="1">
      <c r="A15" s="50" t="s">
        <v>3</v>
      </c>
      <c r="B15" s="26">
        <f>500*B10</f>
        <v>0</v>
      </c>
      <c r="C15" s="66"/>
      <c r="D15" s="66" t="s">
        <v>5</v>
      </c>
      <c r="E15" s="26">
        <f>75*B6+200*B7+500*B8+1000*B9</f>
        <v>0</v>
      </c>
      <c r="G15" s="57" t="s">
        <v>105</v>
      </c>
      <c r="H15" s="63"/>
      <c r="I15" s="116" t="e">
        <f>I9</f>
        <v>#DIV/0!</v>
      </c>
      <c r="M15" s="114">
        <f t="shared" si="1"/>
        <v>1.6000000000000003</v>
      </c>
      <c r="N15" s="19">
        <f t="shared" si="2"/>
        <v>0.49999999999999994</v>
      </c>
      <c r="O15" s="20">
        <f t="shared" si="3"/>
        <v>10</v>
      </c>
      <c r="P15" s="44">
        <f t="shared" si="4"/>
        <v>3.8000000000000013E-2</v>
      </c>
    </row>
    <row r="16" spans="1:16" ht="15" thickBot="1">
      <c r="A16" s="50" t="s">
        <v>59</v>
      </c>
      <c r="B16" s="74"/>
      <c r="C16" s="66"/>
      <c r="D16" s="66" t="s">
        <v>6</v>
      </c>
      <c r="E16" s="28">
        <f>B6*100+B7*300+B8*650+B9*1200</f>
        <v>0</v>
      </c>
      <c r="G16" s="123"/>
      <c r="I16" s="124"/>
      <c r="M16" s="114">
        <f t="shared" si="1"/>
        <v>1.7000000000000004</v>
      </c>
      <c r="N16" s="19">
        <f t="shared" si="2"/>
        <v>0.54999999999999993</v>
      </c>
      <c r="O16" s="20">
        <f t="shared" si="3"/>
        <v>11</v>
      </c>
      <c r="P16" s="44">
        <f t="shared" si="4"/>
        <v>3.9000000000000014E-2</v>
      </c>
    </row>
    <row r="17" spans="1:16" ht="15" thickBot="1">
      <c r="A17" s="50" t="s">
        <v>2</v>
      </c>
      <c r="B17" s="26">
        <f>1300*(B6+B7)+5000*B8+8000*B9</f>
        <v>0</v>
      </c>
      <c r="C17" s="66"/>
      <c r="D17" s="66" t="s">
        <v>7</v>
      </c>
      <c r="E17" s="26">
        <f>36.48*(B6+B7)+485.64*(B8+B9)</f>
        <v>0</v>
      </c>
      <c r="G17" s="57" t="s">
        <v>39</v>
      </c>
      <c r="H17" s="58"/>
      <c r="I17" s="33">
        <v>1</v>
      </c>
      <c r="M17" s="114">
        <f t="shared" si="1"/>
        <v>1.8000000000000005</v>
      </c>
      <c r="N17" s="19">
        <f t="shared" si="2"/>
        <v>0.6</v>
      </c>
      <c r="O17" s="20">
        <f t="shared" si="3"/>
        <v>12</v>
      </c>
      <c r="P17" s="44">
        <f t="shared" si="4"/>
        <v>4.0000000000000015E-2</v>
      </c>
    </row>
    <row r="18" spans="1:16" ht="15" thickBot="1">
      <c r="A18" s="50" t="s">
        <v>60</v>
      </c>
      <c r="B18" s="74"/>
      <c r="C18" s="66"/>
      <c r="D18" s="66" t="s">
        <v>109</v>
      </c>
      <c r="E18" s="26">
        <f>3.479*C9</f>
        <v>0</v>
      </c>
      <c r="G18" s="57" t="s">
        <v>40</v>
      </c>
      <c r="H18" s="58"/>
      <c r="I18" s="33">
        <v>0.3</v>
      </c>
      <c r="M18" s="114"/>
      <c r="N18" s="19">
        <f t="shared" si="2"/>
        <v>0.65</v>
      </c>
      <c r="O18" s="20">
        <f t="shared" si="3"/>
        <v>13</v>
      </c>
      <c r="P18" s="44">
        <f t="shared" si="4"/>
        <v>4.1000000000000016E-2</v>
      </c>
    </row>
    <row r="19" spans="1:16" ht="15" thickBot="1">
      <c r="A19" s="50" t="s">
        <v>51</v>
      </c>
      <c r="B19" s="26">
        <f>700*B6+1000*B7+2000*B8+3500*B9</f>
        <v>0</v>
      </c>
      <c r="C19" s="66"/>
      <c r="D19" s="66" t="s">
        <v>8</v>
      </c>
      <c r="E19" s="110">
        <v>1500</v>
      </c>
      <c r="G19" s="57"/>
      <c r="H19" s="58"/>
      <c r="I19" s="63"/>
      <c r="M19" s="114"/>
      <c r="N19" s="19">
        <f t="shared" si="2"/>
        <v>0.70000000000000007</v>
      </c>
      <c r="O19" s="20">
        <f t="shared" si="3"/>
        <v>14</v>
      </c>
      <c r="P19" s="44">
        <f t="shared" si="4"/>
        <v>4.2000000000000016E-2</v>
      </c>
    </row>
    <row r="20" spans="1:16" ht="15" thickBot="1">
      <c r="A20" s="66"/>
      <c r="B20" s="66"/>
      <c r="C20" s="66"/>
      <c r="D20" s="66" t="s">
        <v>9</v>
      </c>
      <c r="E20" s="74">
        <v>500</v>
      </c>
      <c r="G20" s="59" t="s">
        <v>31</v>
      </c>
      <c r="H20" s="58"/>
      <c r="I20" s="34">
        <v>0.02</v>
      </c>
      <c r="M20" s="114"/>
      <c r="N20" s="19">
        <f t="shared" si="2"/>
        <v>0.75000000000000011</v>
      </c>
      <c r="O20" s="20">
        <f t="shared" si="3"/>
        <v>15</v>
      </c>
      <c r="P20" s="44">
        <f t="shared" si="4"/>
        <v>4.3000000000000017E-2</v>
      </c>
    </row>
    <row r="21" spans="1:16" ht="15" thickBot="1">
      <c r="A21" s="65" t="s">
        <v>10</v>
      </c>
      <c r="B21" s="2">
        <f>E6*1000*C6+E7*1000*C7+E8*1000*C8+E9*1000*C9+B15+B16+B17+B18+B19</f>
        <v>0</v>
      </c>
      <c r="C21" s="67"/>
      <c r="D21" s="68" t="s">
        <v>10</v>
      </c>
      <c r="E21" s="29">
        <f>SUM(E14:E20)</f>
        <v>2000</v>
      </c>
      <c r="G21" s="60" t="s">
        <v>38</v>
      </c>
      <c r="H21" s="58"/>
      <c r="I21" s="136" t="e">
        <f>(I10*I15+I13*3%)*0.85</f>
        <v>#DIV/0!</v>
      </c>
      <c r="M21" s="1"/>
      <c r="N21" s="19">
        <f>5%+N20</f>
        <v>0.80000000000000016</v>
      </c>
      <c r="O21" s="20">
        <f>1+O20</f>
        <v>16</v>
      </c>
      <c r="P21" s="44">
        <f t="shared" si="4"/>
        <v>4.4000000000000018E-2</v>
      </c>
    </row>
    <row r="22" spans="1:16" ht="15" customHeight="1" thickBot="1">
      <c r="G22" s="57" t="s">
        <v>43</v>
      </c>
      <c r="H22" s="58"/>
      <c r="I22" s="35">
        <f>15.5%+1.7%</f>
        <v>0.17199999999999999</v>
      </c>
      <c r="M22" s="1"/>
      <c r="N22" s="19">
        <f t="shared" si="2"/>
        <v>0.8500000000000002</v>
      </c>
      <c r="O22" s="20">
        <f t="shared" si="3"/>
        <v>17</v>
      </c>
      <c r="P22" s="44">
        <f t="shared" si="4"/>
        <v>4.5000000000000019E-2</v>
      </c>
    </row>
    <row r="23" spans="1:16" ht="15.75" customHeight="1" thickBot="1">
      <c r="A23" s="3" t="s">
        <v>33</v>
      </c>
      <c r="B23" s="3"/>
      <c r="C23" s="3"/>
      <c r="D23" s="3"/>
      <c r="E23" s="3"/>
      <c r="G23" s="61"/>
      <c r="H23" s="62"/>
      <c r="I23" s="64"/>
      <c r="M23" s="1"/>
      <c r="N23" s="19">
        <f t="shared" si="2"/>
        <v>0.90000000000000024</v>
      </c>
      <c r="O23" s="20">
        <f t="shared" si="3"/>
        <v>18</v>
      </c>
      <c r="P23" s="44">
        <f t="shared" si="4"/>
        <v>4.600000000000002E-2</v>
      </c>
    </row>
    <row r="24" spans="1:16" ht="15.75" customHeight="1" thickBot="1">
      <c r="C24" s="91"/>
      <c r="M24" s="1"/>
      <c r="N24" s="19">
        <f t="shared" si="2"/>
        <v>0.95000000000000029</v>
      </c>
      <c r="O24" s="20">
        <f t="shared" si="3"/>
        <v>19</v>
      </c>
      <c r="P24" s="44">
        <f t="shared" si="4"/>
        <v>4.7000000000000021E-2</v>
      </c>
    </row>
    <row r="25" spans="1:16" ht="15.75" customHeight="1" thickBot="1">
      <c r="A25" t="s">
        <v>37</v>
      </c>
      <c r="B25" s="30" t="e">
        <f>SIG!V21</f>
        <v>#DIV/0!</v>
      </c>
      <c r="C25" s="111" t="e">
        <f>IF(B25&gt;0,"OK","Pas OK")</f>
        <v>#DIV/0!</v>
      </c>
      <c r="G25" s="161" t="s">
        <v>56</v>
      </c>
      <c r="H25" s="162"/>
      <c r="I25" s="163"/>
      <c r="M25" s="1"/>
      <c r="N25" s="19">
        <f t="shared" si="2"/>
        <v>1.0000000000000002</v>
      </c>
      <c r="O25" s="20">
        <f t="shared" si="3"/>
        <v>20</v>
      </c>
      <c r="P25" s="44">
        <f t="shared" si="4"/>
        <v>4.8000000000000022E-2</v>
      </c>
    </row>
    <row r="26" spans="1:16" ht="15.75" customHeight="1" thickBot="1">
      <c r="A26" t="s">
        <v>34</v>
      </c>
      <c r="B26" s="31" t="e">
        <f>IRR(SIG!B22:V22)</f>
        <v>#VALUE!</v>
      </c>
      <c r="C26" s="111" t="e">
        <f>IF(B26&gt;I21,"OK","Pas viable")</f>
        <v>#VALUE!</v>
      </c>
      <c r="G26" s="164"/>
      <c r="H26" s="165"/>
      <c r="I26" s="166"/>
      <c r="N26" s="25"/>
      <c r="O26" s="20">
        <f t="shared" si="3"/>
        <v>21</v>
      </c>
      <c r="P26" s="44">
        <f t="shared" si="4"/>
        <v>4.9000000000000023E-2</v>
      </c>
    </row>
    <row r="27" spans="1:16" ht="15" thickBot="1">
      <c r="A27" t="s">
        <v>45</v>
      </c>
      <c r="B27" s="31" t="e">
        <f>IRR(SIG!B24:V24)</f>
        <v>#VALUE!</v>
      </c>
      <c r="C27" s="112"/>
      <c r="G27" s="164"/>
      <c r="H27" s="165"/>
      <c r="I27" s="166"/>
      <c r="N27" s="25"/>
      <c r="O27" s="20">
        <f t="shared" si="3"/>
        <v>22</v>
      </c>
      <c r="P27" s="44">
        <f t="shared" si="4"/>
        <v>5.0000000000000024E-2</v>
      </c>
    </row>
    <row r="28" spans="1:16" ht="15" thickBot="1">
      <c r="A28" t="s">
        <v>35</v>
      </c>
      <c r="B28" s="31" t="e">
        <f>AVERAGE(SIG!C17:V17)/I6</f>
        <v>#DIV/0!</v>
      </c>
      <c r="C28" s="112"/>
      <c r="G28" s="164"/>
      <c r="H28" s="165"/>
      <c r="I28" s="166"/>
      <c r="O28" s="20">
        <f t="shared" si="3"/>
        <v>23</v>
      </c>
      <c r="P28" s="44">
        <f t="shared" si="4"/>
        <v>5.1000000000000024E-2</v>
      </c>
    </row>
    <row r="29" spans="1:16" ht="15" thickBot="1">
      <c r="A29" t="s">
        <v>55</v>
      </c>
      <c r="B29" s="30">
        <f>IF(COUNTIF(SIG!C21:V21,"&lt;0")=20,"&gt;20 ans",COUNTIF(SIG!C21:V21,"&lt;0"))</f>
        <v>0</v>
      </c>
      <c r="C29" s="112"/>
      <c r="G29" s="167"/>
      <c r="H29" s="168"/>
      <c r="I29" s="169"/>
      <c r="O29" s="20">
        <f t="shared" si="3"/>
        <v>24</v>
      </c>
      <c r="P29" s="44">
        <f t="shared" si="4"/>
        <v>5.2000000000000025E-2</v>
      </c>
    </row>
    <row r="30" spans="1:16" ht="15" thickBot="1">
      <c r="A30" t="s">
        <v>44</v>
      </c>
      <c r="B30" s="32" t="e">
        <f>AVERAGE(SIG!C30:V30)</f>
        <v>#DIV/0!</v>
      </c>
      <c r="C30" s="111"/>
      <c r="O30" s="20">
        <f t="shared" si="3"/>
        <v>25</v>
      </c>
      <c r="P30" s="44">
        <f t="shared" si="4"/>
        <v>5.3000000000000026E-2</v>
      </c>
    </row>
    <row r="31" spans="1:16" ht="15.6" thickTop="1" thickBot="1">
      <c r="A31" t="s">
        <v>87</v>
      </c>
      <c r="B31" s="92" t="e">
        <f>AVERAGEIF(SIG!C26:U26,"&lt;&gt;0")</f>
        <v>#DIV/0!</v>
      </c>
      <c r="C31" s="111" t="e">
        <f>IF(B31&gt;115%,"OK","Pas OK")</f>
        <v>#DIV/0!</v>
      </c>
      <c r="G31" s="158" t="s">
        <v>88</v>
      </c>
      <c r="H31" s="159"/>
      <c r="I31" s="160"/>
      <c r="O31" s="20">
        <f t="shared" si="3"/>
        <v>26</v>
      </c>
      <c r="P31" s="44">
        <f t="shared" si="4"/>
        <v>5.4000000000000027E-2</v>
      </c>
    </row>
    <row r="32" spans="1:16">
      <c r="O32" s="20">
        <f t="shared" si="3"/>
        <v>27</v>
      </c>
      <c r="P32" s="44">
        <f t="shared" si="4"/>
        <v>5.5000000000000028E-2</v>
      </c>
    </row>
    <row r="33" spans="15:15">
      <c r="O33" s="20">
        <f t="shared" si="3"/>
        <v>28</v>
      </c>
    </row>
    <row r="34" spans="15:15">
      <c r="O34" s="20">
        <f t="shared" si="3"/>
        <v>29</v>
      </c>
    </row>
    <row r="35" spans="15:15">
      <c r="O35" s="20">
        <f t="shared" si="3"/>
        <v>30</v>
      </c>
    </row>
    <row r="36" spans="15:15">
      <c r="O36" s="20"/>
    </row>
    <row r="37" spans="15:15">
      <c r="O37" s="20"/>
    </row>
    <row r="38" spans="15:15">
      <c r="O38" s="20"/>
    </row>
    <row r="39" spans="15:15">
      <c r="O39" s="20"/>
    </row>
    <row r="40" spans="15:15">
      <c r="O40" s="20"/>
    </row>
    <row r="41" spans="15:15">
      <c r="O41" s="20"/>
    </row>
    <row r="42" spans="15:15">
      <c r="O42" s="20"/>
    </row>
    <row r="43" spans="15:15">
      <c r="O43" s="20"/>
    </row>
    <row r="44" spans="15:15">
      <c r="O44" s="20">
        <f t="shared" si="3"/>
        <v>1</v>
      </c>
    </row>
    <row r="45" spans="15:15">
      <c r="O45" s="20">
        <f t="shared" si="3"/>
        <v>2</v>
      </c>
    </row>
    <row r="46" spans="15:15">
      <c r="O46" s="20">
        <f t="shared" si="3"/>
        <v>3</v>
      </c>
    </row>
    <row r="47" spans="15:15">
      <c r="O47" s="20">
        <f t="shared" si="3"/>
        <v>4</v>
      </c>
    </row>
    <row r="48" spans="15:15">
      <c r="O48" s="20">
        <f t="shared" si="3"/>
        <v>5</v>
      </c>
    </row>
    <row r="49" spans="15:15">
      <c r="O49" s="20">
        <f t="shared" si="3"/>
        <v>6</v>
      </c>
    </row>
    <row r="50" spans="15:15">
      <c r="O50" s="20">
        <f t="shared" si="3"/>
        <v>7</v>
      </c>
    </row>
    <row r="51" spans="15:15">
      <c r="O51" s="20">
        <f t="shared" si="3"/>
        <v>8</v>
      </c>
    </row>
    <row r="52" spans="15:15">
      <c r="O52" s="20">
        <f t="shared" si="3"/>
        <v>9</v>
      </c>
    </row>
    <row r="53" spans="15:15">
      <c r="O53" s="20">
        <f t="shared" si="3"/>
        <v>10</v>
      </c>
    </row>
    <row r="54" spans="15:15">
      <c r="O54" s="20">
        <f t="shared" si="3"/>
        <v>11</v>
      </c>
    </row>
    <row r="55" spans="15:15">
      <c r="O55" s="20">
        <f t="shared" si="3"/>
        <v>12</v>
      </c>
    </row>
  </sheetData>
  <sheetProtection selectLockedCells="1"/>
  <mergeCells count="3">
    <mergeCell ref="A1:I1"/>
    <mergeCell ref="G31:I31"/>
    <mergeCell ref="G25:I29"/>
  </mergeCells>
  <conditionalFormatting sqref="C25:C31">
    <cfRule type="cellIs" dxfId="1" priority="1" operator="equal">
      <formula>"Pas OK"</formula>
    </cfRule>
    <cfRule type="cellIs" dxfId="0" priority="2" operator="equal">
      <formula>"OK"</formula>
    </cfRule>
  </conditionalFormatting>
  <dataValidations count="5">
    <dataValidation type="list" allowBlank="1" showInputMessage="1" showErrorMessage="1" sqref="B7:B9" xr:uid="{00000000-0002-0000-0000-000000000000}">
      <formula1>$O$5:$O$25</formula1>
    </dataValidation>
    <dataValidation type="list" allowBlank="1" showInputMessage="1" showErrorMessage="1" sqref="I11" xr:uid="{00000000-0002-0000-0000-000001000000}">
      <formula1>$O$6:$O$25</formula1>
    </dataValidation>
    <dataValidation type="list" allowBlank="1" showInputMessage="1" showErrorMessage="1" sqref="I10" xr:uid="{00000000-0002-0000-0000-000002000000}">
      <formula1>$P$2:$P$25</formula1>
    </dataValidation>
    <dataValidation type="list" allowBlank="1" showInputMessage="1" showErrorMessage="1" sqref="B6" xr:uid="{00000000-0002-0000-0000-000003000000}">
      <formula1>$O$5:$O$35</formula1>
    </dataValidation>
    <dataValidation type="list" allowBlank="1" showInputMessage="1" showErrorMessage="1" sqref="E6:E9" xr:uid="{00000000-0002-0000-0000-000004000000}">
      <formula1>$M$5:$M$17</formula1>
    </dataValidation>
  </dataValidations>
  <hyperlinks>
    <hyperlink ref="G31:I31" location="AIDE!A1" display="CONSULTER L'AIDE" xr:uid="{00000000-0004-0000-0000-000000000000}"/>
  </hyperlink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32"/>
  <sheetViews>
    <sheetView zoomScale="90" zoomScaleNormal="90" workbookViewId="0">
      <selection activeCell="W16" sqref="W16"/>
    </sheetView>
  </sheetViews>
  <sheetFormatPr baseColWidth="10" defaultRowHeight="14.4"/>
  <cols>
    <col min="1" max="1" width="31.88671875" customWidth="1"/>
    <col min="2" max="2" width="9" customWidth="1"/>
    <col min="3" max="3" width="10.6640625" style="9" customWidth="1"/>
    <col min="4" max="22" width="8.88671875" style="9" customWidth="1"/>
  </cols>
  <sheetData>
    <row r="1" spans="1:43">
      <c r="A1" s="3" t="s">
        <v>86</v>
      </c>
      <c r="B1" s="3"/>
      <c r="C1" s="3"/>
      <c r="D1" s="3"/>
      <c r="E1" s="3"/>
      <c r="F1" s="3"/>
      <c r="G1" s="3"/>
      <c r="H1" s="3"/>
      <c r="I1" s="3"/>
      <c r="J1" s="3"/>
      <c r="K1" s="3"/>
      <c r="L1" s="3"/>
      <c r="M1" s="3"/>
      <c r="N1" s="3"/>
      <c r="O1" s="3"/>
      <c r="P1" s="3"/>
      <c r="Q1" s="3"/>
      <c r="R1" s="3"/>
      <c r="S1" s="3"/>
      <c r="T1" s="3"/>
      <c r="U1" s="3"/>
      <c r="V1" s="3"/>
    </row>
    <row r="2" spans="1:43" ht="15" thickBot="1"/>
    <row r="3" spans="1:43">
      <c r="B3" s="11">
        <v>0</v>
      </c>
      <c r="C3" s="11">
        <v>1</v>
      </c>
      <c r="D3" s="12">
        <v>2</v>
      </c>
      <c r="E3" s="13">
        <v>3</v>
      </c>
      <c r="F3" s="13">
        <v>4</v>
      </c>
      <c r="G3" s="13">
        <v>5</v>
      </c>
      <c r="H3" s="13">
        <v>6</v>
      </c>
      <c r="I3" s="13">
        <v>7</v>
      </c>
      <c r="J3" s="13">
        <v>8</v>
      </c>
      <c r="K3" s="13">
        <v>9</v>
      </c>
      <c r="L3" s="13">
        <v>10</v>
      </c>
      <c r="M3" s="13">
        <v>11</v>
      </c>
      <c r="N3" s="13">
        <v>12</v>
      </c>
      <c r="O3" s="13">
        <v>13</v>
      </c>
      <c r="P3" s="13">
        <v>14</v>
      </c>
      <c r="Q3" s="13">
        <v>15</v>
      </c>
      <c r="R3" s="13">
        <v>16</v>
      </c>
      <c r="S3" s="13">
        <v>17</v>
      </c>
      <c r="T3" s="12">
        <v>18</v>
      </c>
      <c r="U3" s="12">
        <v>19</v>
      </c>
      <c r="V3" s="14">
        <v>20</v>
      </c>
      <c r="AB3" s="10"/>
      <c r="AM3" s="15"/>
      <c r="AN3" s="15"/>
      <c r="AO3" s="15"/>
      <c r="AP3" s="15"/>
      <c r="AQ3" s="16"/>
    </row>
    <row r="4" spans="1:43">
      <c r="A4" s="95" t="s">
        <v>17</v>
      </c>
      <c r="B4" s="106"/>
      <c r="C4" s="98">
        <f>ANALYSE!B11*(ANALYSE!C6*ANALYSE!D6/100+ANALYSE!C7*ANALYSE!D7/100+ANALYSE!C8*ANALYSE!D8/100+ANALYSE!C9*ANALYSE!D9/100)</f>
        <v>0</v>
      </c>
      <c r="D4" s="7">
        <f>$C$4</f>
        <v>0</v>
      </c>
      <c r="E4" s="7">
        <f t="shared" ref="E4:V4" si="0">$C$4</f>
        <v>0</v>
      </c>
      <c r="F4" s="7">
        <f t="shared" si="0"/>
        <v>0</v>
      </c>
      <c r="G4" s="7">
        <f t="shared" si="0"/>
        <v>0</v>
      </c>
      <c r="H4" s="7">
        <f t="shared" si="0"/>
        <v>0</v>
      </c>
      <c r="I4" s="7">
        <f t="shared" si="0"/>
        <v>0</v>
      </c>
      <c r="J4" s="7">
        <f t="shared" si="0"/>
        <v>0</v>
      </c>
      <c r="K4" s="7">
        <f t="shared" si="0"/>
        <v>0</v>
      </c>
      <c r="L4" s="7">
        <f t="shared" si="0"/>
        <v>0</v>
      </c>
      <c r="M4" s="7">
        <f t="shared" si="0"/>
        <v>0</v>
      </c>
      <c r="N4" s="7">
        <f t="shared" si="0"/>
        <v>0</v>
      </c>
      <c r="O4" s="7">
        <f t="shared" si="0"/>
        <v>0</v>
      </c>
      <c r="P4" s="7">
        <f t="shared" si="0"/>
        <v>0</v>
      </c>
      <c r="Q4" s="7">
        <f t="shared" si="0"/>
        <v>0</v>
      </c>
      <c r="R4" s="7">
        <f t="shared" si="0"/>
        <v>0</v>
      </c>
      <c r="S4" s="7">
        <f t="shared" si="0"/>
        <v>0</v>
      </c>
      <c r="T4" s="7">
        <f t="shared" si="0"/>
        <v>0</v>
      </c>
      <c r="U4" s="7">
        <f t="shared" si="0"/>
        <v>0</v>
      </c>
      <c r="V4" s="7">
        <f t="shared" si="0"/>
        <v>0</v>
      </c>
      <c r="AB4" s="10"/>
    </row>
    <row r="5" spans="1:43">
      <c r="A5" s="95" t="s">
        <v>18</v>
      </c>
      <c r="B5" s="106"/>
      <c r="C5" s="98">
        <f>ANALYSE!E21</f>
        <v>2000</v>
      </c>
      <c r="D5" s="7">
        <f>$C$5*(1+ANALYSE!$I$20)^(SIG!D3-1)</f>
        <v>2040</v>
      </c>
      <c r="E5" s="7">
        <f>$C$5*(1+ANALYSE!$I$20)^(SIG!E3-1)</f>
        <v>2080.8000000000002</v>
      </c>
      <c r="F5" s="7">
        <f>$C$5*(1+ANALYSE!$I$20)^(SIG!F3-1)</f>
        <v>2122.4159999999997</v>
      </c>
      <c r="G5" s="7">
        <f>$C$5*(1+ANALYSE!$I$20)^(SIG!G3-1)</f>
        <v>2164.8643200000001</v>
      </c>
      <c r="H5" s="7">
        <f>$C$5*(1+ANALYSE!$I$20)^(SIG!H3-1)</f>
        <v>2208.1616064</v>
      </c>
      <c r="I5" s="7">
        <f>$C$5*(1+ANALYSE!$I$20)^(SIG!I3-1)</f>
        <v>2252.3248385280003</v>
      </c>
      <c r="J5" s="7">
        <f>$C$5*(1+ANALYSE!$I$20)^(SIG!J3-1)</f>
        <v>2297.3713352985596</v>
      </c>
      <c r="K5" s="7">
        <f>$C$5*(1+ANALYSE!$I$20)^(SIG!K3-1)</f>
        <v>2343.318762004531</v>
      </c>
      <c r="L5" s="7">
        <f>$C$5*(1+ANALYSE!$I$20)^(SIG!L3-1)</f>
        <v>2390.1851372446217</v>
      </c>
      <c r="M5" s="7">
        <f>$C$5*(1+ANALYSE!$I$20)^(SIG!M3-1)</f>
        <v>2437.9888399895144</v>
      </c>
      <c r="N5" s="7">
        <f>$C$5*(1+ANALYSE!$I$20)^(SIG!N3-1)</f>
        <v>2486.7486167893039</v>
      </c>
      <c r="O5" s="7">
        <f>$C$5*(1+ANALYSE!$I$20)^(SIG!O3-1)</f>
        <v>2536.4835891250905</v>
      </c>
      <c r="P5" s="7">
        <f>$C$5*(1+ANALYSE!$I$20)^(SIG!P3-1)</f>
        <v>2587.213260907592</v>
      </c>
      <c r="Q5" s="7">
        <f>$C$5*(1+ANALYSE!$I$20)^(SIG!Q3-1)</f>
        <v>2638.9575261257442</v>
      </c>
      <c r="R5" s="7">
        <f>$C$5*(1+ANALYSE!$I$20)^(SIG!R3-1)</f>
        <v>2691.7366766482583</v>
      </c>
      <c r="S5" s="7">
        <f>$C$5*(1+ANALYSE!$I$20)^(SIG!S3-1)</f>
        <v>2745.5714101812241</v>
      </c>
      <c r="T5" s="7">
        <f>$C$5*(1+ANALYSE!$I$20)^(SIG!T3-1)</f>
        <v>2800.4828383848489</v>
      </c>
      <c r="U5" s="7">
        <f>$C$5*(1+ANALYSE!$I$20)^(SIG!U3-1)</f>
        <v>2856.4924951525454</v>
      </c>
      <c r="V5" s="7">
        <f>$C$5*(1+ANALYSE!$I$20)^(SIG!V3-1)</f>
        <v>2913.6223450555963</v>
      </c>
    </row>
    <row r="6" spans="1:43">
      <c r="A6" s="96" t="s">
        <v>19</v>
      </c>
      <c r="B6" s="107"/>
      <c r="C6" s="99">
        <f>C4-C5</f>
        <v>-2000</v>
      </c>
      <c r="D6" s="6">
        <f t="shared" ref="D6:V6" si="1">D4-D5</f>
        <v>-2040</v>
      </c>
      <c r="E6" s="6">
        <f t="shared" si="1"/>
        <v>-2080.8000000000002</v>
      </c>
      <c r="F6" s="6">
        <f t="shared" si="1"/>
        <v>-2122.4159999999997</v>
      </c>
      <c r="G6" s="6">
        <f t="shared" si="1"/>
        <v>-2164.8643200000001</v>
      </c>
      <c r="H6" s="6">
        <f t="shared" si="1"/>
        <v>-2208.1616064</v>
      </c>
      <c r="I6" s="6">
        <f t="shared" si="1"/>
        <v>-2252.3248385280003</v>
      </c>
      <c r="J6" s="6">
        <f t="shared" si="1"/>
        <v>-2297.3713352985596</v>
      </c>
      <c r="K6" s="6">
        <f t="shared" si="1"/>
        <v>-2343.318762004531</v>
      </c>
      <c r="L6" s="6">
        <f t="shared" si="1"/>
        <v>-2390.1851372446217</v>
      </c>
      <c r="M6" s="6">
        <f t="shared" si="1"/>
        <v>-2437.9888399895144</v>
      </c>
      <c r="N6" s="6">
        <f t="shared" si="1"/>
        <v>-2486.7486167893039</v>
      </c>
      <c r="O6" s="6">
        <f t="shared" si="1"/>
        <v>-2536.4835891250905</v>
      </c>
      <c r="P6" s="6">
        <f t="shared" si="1"/>
        <v>-2587.213260907592</v>
      </c>
      <c r="Q6" s="6">
        <f t="shared" si="1"/>
        <v>-2638.9575261257442</v>
      </c>
      <c r="R6" s="6">
        <f t="shared" si="1"/>
        <v>-2691.7366766482583</v>
      </c>
      <c r="S6" s="6">
        <f t="shared" si="1"/>
        <v>-2745.5714101812241</v>
      </c>
      <c r="T6" s="6">
        <f t="shared" si="1"/>
        <v>-2800.4828383848489</v>
      </c>
      <c r="U6" s="6">
        <f t="shared" si="1"/>
        <v>-2856.4924951525454</v>
      </c>
      <c r="V6" s="6">
        <f t="shared" si="1"/>
        <v>-2913.6223450555963</v>
      </c>
      <c r="W6" s="17"/>
      <c r="X6" s="17"/>
      <c r="Y6" s="17"/>
      <c r="Z6" s="17"/>
      <c r="AA6" s="17"/>
      <c r="AB6" s="17"/>
      <c r="AC6" s="17"/>
      <c r="AD6" s="17"/>
      <c r="AE6" s="17"/>
      <c r="AF6" s="17"/>
      <c r="AG6" s="17"/>
      <c r="AH6" s="17"/>
      <c r="AI6" s="17"/>
      <c r="AJ6" s="17"/>
      <c r="AK6" s="17"/>
      <c r="AL6" s="17"/>
      <c r="AM6" s="17"/>
      <c r="AN6" s="17"/>
      <c r="AO6" s="17"/>
      <c r="AP6" s="17"/>
      <c r="AQ6" s="17"/>
    </row>
    <row r="7" spans="1:43">
      <c r="A7" s="95" t="s">
        <v>32</v>
      </c>
      <c r="B7" s="106"/>
      <c r="C7" s="100">
        <v>400</v>
      </c>
      <c r="D7" s="100">
        <v>400</v>
      </c>
      <c r="E7" s="100">
        <v>400</v>
      </c>
      <c r="F7" s="100">
        <v>400</v>
      </c>
      <c r="G7" s="100">
        <v>400</v>
      </c>
      <c r="H7" s="100">
        <v>400</v>
      </c>
      <c r="I7" s="100">
        <v>400</v>
      </c>
      <c r="J7" s="100">
        <v>400</v>
      </c>
      <c r="K7" s="100">
        <v>400</v>
      </c>
      <c r="L7" s="100">
        <v>400</v>
      </c>
      <c r="M7" s="100">
        <v>400</v>
      </c>
      <c r="N7" s="100">
        <v>400</v>
      </c>
      <c r="O7" s="100">
        <v>400</v>
      </c>
      <c r="P7" s="100">
        <v>400</v>
      </c>
      <c r="Q7" s="100">
        <v>400</v>
      </c>
      <c r="R7" s="100">
        <v>400</v>
      </c>
      <c r="S7" s="100">
        <v>400</v>
      </c>
      <c r="T7" s="100">
        <v>400</v>
      </c>
      <c r="U7" s="100">
        <v>400</v>
      </c>
      <c r="V7" s="100">
        <v>400</v>
      </c>
    </row>
    <row r="8" spans="1:43" ht="15" customHeight="1">
      <c r="A8" s="95" t="s">
        <v>20</v>
      </c>
      <c r="B8" s="106"/>
      <c r="C8" s="98">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row>
    <row r="9" spans="1:43" ht="15" customHeight="1">
      <c r="A9" s="96" t="s">
        <v>98</v>
      </c>
      <c r="B9" s="107"/>
      <c r="C9" s="99">
        <f>C6-C7-C8</f>
        <v>-2400</v>
      </c>
      <c r="D9" s="6">
        <f t="shared" ref="D9:V9" si="2">D6-D7-D8</f>
        <v>-2440</v>
      </c>
      <c r="E9" s="6">
        <f t="shared" si="2"/>
        <v>-2480.8000000000002</v>
      </c>
      <c r="F9" s="6">
        <f t="shared" si="2"/>
        <v>-2522.4159999999997</v>
      </c>
      <c r="G9" s="6">
        <f t="shared" si="2"/>
        <v>-2564.8643200000001</v>
      </c>
      <c r="H9" s="6">
        <f t="shared" si="2"/>
        <v>-2608.1616064</v>
      </c>
      <c r="I9" s="6">
        <f t="shared" si="2"/>
        <v>-2652.3248385280003</v>
      </c>
      <c r="J9" s="6">
        <f t="shared" si="2"/>
        <v>-2697.3713352985596</v>
      </c>
      <c r="K9" s="6">
        <f t="shared" si="2"/>
        <v>-2743.318762004531</v>
      </c>
      <c r="L9" s="6">
        <f t="shared" si="2"/>
        <v>-2790.1851372446217</v>
      </c>
      <c r="M9" s="6">
        <f t="shared" si="2"/>
        <v>-2837.9888399895144</v>
      </c>
      <c r="N9" s="6">
        <f t="shared" si="2"/>
        <v>-2886.7486167893039</v>
      </c>
      <c r="O9" s="6">
        <f t="shared" si="2"/>
        <v>-2936.4835891250905</v>
      </c>
      <c r="P9" s="6">
        <f t="shared" si="2"/>
        <v>-2987.213260907592</v>
      </c>
      <c r="Q9" s="6">
        <f t="shared" si="2"/>
        <v>-3038.9575261257442</v>
      </c>
      <c r="R9" s="6">
        <f t="shared" si="2"/>
        <v>-3091.7366766482583</v>
      </c>
      <c r="S9" s="6">
        <f t="shared" si="2"/>
        <v>-3145.5714101812241</v>
      </c>
      <c r="T9" s="6">
        <f t="shared" si="2"/>
        <v>-3200.4828383848489</v>
      </c>
      <c r="U9" s="6">
        <f t="shared" si="2"/>
        <v>-3256.4924951525454</v>
      </c>
      <c r="V9" s="6">
        <f t="shared" si="2"/>
        <v>-3313.6223450555963</v>
      </c>
      <c r="W9" s="17"/>
      <c r="X9" s="17"/>
      <c r="Y9" s="17"/>
      <c r="Z9" s="17"/>
      <c r="AA9" s="17"/>
      <c r="AB9" s="17"/>
      <c r="AC9" s="17"/>
      <c r="AD9" s="17"/>
      <c r="AE9" s="17"/>
      <c r="AF9" s="17"/>
      <c r="AG9" s="17"/>
      <c r="AH9" s="17"/>
      <c r="AI9" s="17"/>
      <c r="AJ9" s="17"/>
      <c r="AK9" s="17"/>
      <c r="AL9" s="17"/>
      <c r="AM9" s="17"/>
      <c r="AN9" s="17"/>
      <c r="AO9" s="17"/>
      <c r="AP9" s="17"/>
      <c r="AQ9" s="17"/>
    </row>
    <row r="10" spans="1:43" ht="15" customHeight="1">
      <c r="A10" s="95" t="s">
        <v>21</v>
      </c>
      <c r="B10" s="106"/>
      <c r="C10" s="100">
        <f>(ANALYSE!$B$21-subvention)/20</f>
        <v>0</v>
      </c>
      <c r="D10" s="100">
        <f>(ANALYSE!$B$21-subvention)/20</f>
        <v>0</v>
      </c>
      <c r="E10" s="100">
        <f>(ANALYSE!$B$21-subvention)/20</f>
        <v>0</v>
      </c>
      <c r="F10" s="100">
        <f>(ANALYSE!$B$21-subvention)/20</f>
        <v>0</v>
      </c>
      <c r="G10" s="100">
        <f>(ANALYSE!$B$21-subvention)/20</f>
        <v>0</v>
      </c>
      <c r="H10" s="100">
        <f>(ANALYSE!$B$21-subvention)/20</f>
        <v>0</v>
      </c>
      <c r="I10" s="100">
        <f>(ANALYSE!$B$21-subvention)/20</f>
        <v>0</v>
      </c>
      <c r="J10" s="100">
        <f>(ANALYSE!$B$21-subvention)/20</f>
        <v>0</v>
      </c>
      <c r="K10" s="100">
        <f>(ANALYSE!$B$21-subvention)/20</f>
        <v>0</v>
      </c>
      <c r="L10" s="100">
        <f>(ANALYSE!$B$21-subvention)/20</f>
        <v>0</v>
      </c>
      <c r="M10" s="100">
        <f>(ANALYSE!$B$21-subvention)/20</f>
        <v>0</v>
      </c>
      <c r="N10" s="100">
        <f>(ANALYSE!$B$21-subvention)/20</f>
        <v>0</v>
      </c>
      <c r="O10" s="100">
        <f>(ANALYSE!$B$21-subvention)/20</f>
        <v>0</v>
      </c>
      <c r="P10" s="100">
        <f>(ANALYSE!$B$21-subvention)/20</f>
        <v>0</v>
      </c>
      <c r="Q10" s="100">
        <f>(ANALYSE!$B$21-subvention)/20</f>
        <v>0</v>
      </c>
      <c r="R10" s="100">
        <f>(ANALYSE!$B$21-subvention)/20</f>
        <v>0</v>
      </c>
      <c r="S10" s="100">
        <f>(ANALYSE!$B$21-subvention)/20</f>
        <v>0</v>
      </c>
      <c r="T10" s="100">
        <f>(ANALYSE!$B$21-subvention)/20</f>
        <v>0</v>
      </c>
      <c r="U10" s="100">
        <f>(ANALYSE!$B$21-subvention)/20</f>
        <v>0</v>
      </c>
      <c r="V10" s="100">
        <f>(ANALYSE!$B$21-subvention)/20</f>
        <v>0</v>
      </c>
    </row>
    <row r="11" spans="1:43">
      <c r="A11" s="95" t="s">
        <v>22</v>
      </c>
      <c r="B11" s="106"/>
      <c r="C11" s="98">
        <v>0</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row>
    <row r="12" spans="1:43" ht="15" customHeight="1">
      <c r="A12" s="96" t="s">
        <v>23</v>
      </c>
      <c r="B12" s="107"/>
      <c r="C12" s="99">
        <f>C9-C10-C11</f>
        <v>-2400</v>
      </c>
      <c r="D12" s="6">
        <f t="shared" ref="D12:V12" si="3">D9-D10-D11</f>
        <v>-2440</v>
      </c>
      <c r="E12" s="6">
        <f t="shared" si="3"/>
        <v>-2480.8000000000002</v>
      </c>
      <c r="F12" s="6">
        <f t="shared" si="3"/>
        <v>-2522.4159999999997</v>
      </c>
      <c r="G12" s="6">
        <f t="shared" si="3"/>
        <v>-2564.8643200000001</v>
      </c>
      <c r="H12" s="6">
        <f t="shared" si="3"/>
        <v>-2608.1616064</v>
      </c>
      <c r="I12" s="6">
        <f t="shared" si="3"/>
        <v>-2652.3248385280003</v>
      </c>
      <c r="J12" s="6">
        <f t="shared" si="3"/>
        <v>-2697.3713352985596</v>
      </c>
      <c r="K12" s="6">
        <f t="shared" si="3"/>
        <v>-2743.318762004531</v>
      </c>
      <c r="L12" s="6">
        <f t="shared" si="3"/>
        <v>-2790.1851372446217</v>
      </c>
      <c r="M12" s="6">
        <f t="shared" si="3"/>
        <v>-2837.9888399895144</v>
      </c>
      <c r="N12" s="6">
        <f t="shared" si="3"/>
        <v>-2886.7486167893039</v>
      </c>
      <c r="O12" s="6">
        <f t="shared" si="3"/>
        <v>-2936.4835891250905</v>
      </c>
      <c r="P12" s="6">
        <f t="shared" si="3"/>
        <v>-2987.213260907592</v>
      </c>
      <c r="Q12" s="6">
        <f t="shared" si="3"/>
        <v>-3038.9575261257442</v>
      </c>
      <c r="R12" s="6">
        <f t="shared" si="3"/>
        <v>-3091.7366766482583</v>
      </c>
      <c r="S12" s="6">
        <f t="shared" si="3"/>
        <v>-3145.5714101812241</v>
      </c>
      <c r="T12" s="6">
        <f t="shared" si="3"/>
        <v>-3200.4828383848489</v>
      </c>
      <c r="U12" s="6">
        <f t="shared" si="3"/>
        <v>-3256.4924951525454</v>
      </c>
      <c r="V12" s="6">
        <f t="shared" si="3"/>
        <v>-3313.6223450555963</v>
      </c>
      <c r="W12" s="17"/>
      <c r="X12" s="17"/>
      <c r="Y12" s="17"/>
      <c r="Z12" s="17"/>
      <c r="AA12" s="17"/>
      <c r="AB12" s="17"/>
      <c r="AC12" s="17"/>
      <c r="AD12" s="17"/>
      <c r="AE12" s="17"/>
      <c r="AF12" s="17"/>
      <c r="AG12" s="17"/>
      <c r="AH12" s="17"/>
      <c r="AI12" s="17"/>
      <c r="AJ12" s="17"/>
      <c r="AK12" s="17"/>
      <c r="AL12" s="17"/>
      <c r="AM12" s="17"/>
      <c r="AN12" s="17"/>
      <c r="AO12" s="17"/>
      <c r="AP12" s="17"/>
      <c r="AQ12" s="17"/>
    </row>
    <row r="13" spans="1:43" ht="15" customHeight="1">
      <c r="A13" s="117" t="s">
        <v>24</v>
      </c>
      <c r="B13" s="118"/>
      <c r="C13" s="119" t="e">
        <f>IF(C3&lt;=ANALYSE!$I$11,-IPMT(ANALYSE!$I$10,C3,ANALYSE!$I$11,(ANALYSE!$B$21*ANALYSE!$I$9)),0)</f>
        <v>#DIV/0!</v>
      </c>
      <c r="D13" s="119" t="e">
        <f>IF(D3&lt;=ANALYSE!$I$11,-IPMT(ANALYSE!$I$10,D3,ANALYSE!$I$11,(ANALYSE!$B$21*ANALYSE!$I$9)),0)</f>
        <v>#DIV/0!</v>
      </c>
      <c r="E13" s="119" t="e">
        <f>IF(E3&lt;=ANALYSE!$I$11,-IPMT(ANALYSE!$I$10,E3,ANALYSE!$I$11,(ANALYSE!$B$21*ANALYSE!$I$9)),0)</f>
        <v>#DIV/0!</v>
      </c>
      <c r="F13" s="119" t="e">
        <f>IF(F3&lt;=ANALYSE!$I$11,-IPMT(ANALYSE!$I$10,F3,ANALYSE!$I$11,(ANALYSE!$B$21*ANALYSE!$I$9)),0)</f>
        <v>#DIV/0!</v>
      </c>
      <c r="G13" s="119" t="e">
        <f>IF(G3&lt;=ANALYSE!$I$11,-IPMT(ANALYSE!$I$10,G3,ANALYSE!$I$11,(ANALYSE!$B$21*ANALYSE!$I$9)),0)</f>
        <v>#DIV/0!</v>
      </c>
      <c r="H13" s="119" t="e">
        <f>IF(H3&lt;=ANALYSE!$I$11,-IPMT(ANALYSE!$I$10,H3,ANALYSE!$I$11,(ANALYSE!$B$21*ANALYSE!$I$9)),0)</f>
        <v>#DIV/0!</v>
      </c>
      <c r="I13" s="119" t="e">
        <f>IF(I3&lt;=ANALYSE!$I$11,-IPMT(ANALYSE!$I$10,I3,ANALYSE!$I$11,(ANALYSE!$B$21*ANALYSE!$I$9)),0)</f>
        <v>#DIV/0!</v>
      </c>
      <c r="J13" s="119" t="e">
        <f>IF(J3&lt;=ANALYSE!$I$11,-IPMT(ANALYSE!$I$10,J3,ANALYSE!$I$11,(ANALYSE!$B$21*ANALYSE!$I$9)),0)</f>
        <v>#DIV/0!</v>
      </c>
      <c r="K13" s="119" t="e">
        <f>IF(K3&lt;=ANALYSE!$I$11,-IPMT(ANALYSE!$I$10,K3,ANALYSE!$I$11,(ANALYSE!$B$21*ANALYSE!$I$9)),0)</f>
        <v>#DIV/0!</v>
      </c>
      <c r="L13" s="119" t="e">
        <f>IF(L3&lt;=ANALYSE!$I$11,-IPMT(ANALYSE!$I$10,L3,ANALYSE!$I$11,(ANALYSE!$B$21*ANALYSE!$I$9)),0)</f>
        <v>#DIV/0!</v>
      </c>
      <c r="M13" s="119" t="e">
        <f>IF(M3&lt;=ANALYSE!$I$11,-IPMT(ANALYSE!$I$10,M3,ANALYSE!$I$11,(ANALYSE!$B$21*ANALYSE!$I$9)),0)</f>
        <v>#DIV/0!</v>
      </c>
      <c r="N13" s="119" t="e">
        <f>IF(N3&lt;=ANALYSE!$I$11,-IPMT(ANALYSE!$I$10,N3,ANALYSE!$I$11,(ANALYSE!$B$21*ANALYSE!$I$9)),0)</f>
        <v>#DIV/0!</v>
      </c>
      <c r="O13" s="119" t="e">
        <f>IF(O3&lt;=ANALYSE!$I$11,-IPMT(ANALYSE!$I$10,O3,ANALYSE!$I$11,(ANALYSE!$B$21*ANALYSE!$I$9)),0)</f>
        <v>#DIV/0!</v>
      </c>
      <c r="P13" s="119">
        <f>IF(P3&lt;=ANALYSE!$I$11,-IPMT(ANALYSE!$I$10,P3,ANALYSE!$I$11,(ANALYSE!$B$21*ANALYSE!$I$9)),0)</f>
        <v>0</v>
      </c>
      <c r="Q13" s="119">
        <f>IF(Q3&lt;=ANALYSE!$I$11,-IPMT(ANALYSE!$I$10,Q3,ANALYSE!$I$11,(ANALYSE!$B$21*ANALYSE!$I$9)),0)</f>
        <v>0</v>
      </c>
      <c r="R13" s="119">
        <f>IF(R3&lt;=ANALYSE!$I$11,-IPMT(ANALYSE!$I$10,R3,ANALYSE!$I$11,(ANALYSE!$B$21*ANALYSE!$I$9)),0)</f>
        <v>0</v>
      </c>
      <c r="S13" s="119">
        <f>IF(S3&lt;=ANALYSE!$I$11,-IPMT(ANALYSE!$I$10,S3,ANALYSE!$I$11,(ANALYSE!$B$21*ANALYSE!$I$9)),0)</f>
        <v>0</v>
      </c>
      <c r="T13" s="119">
        <f>IF(T3&lt;=ANALYSE!$I$11,-IPMT(ANALYSE!$I$10,T3,ANALYSE!$I$11,(ANALYSE!$B$21*ANALYSE!$I$9)),0)</f>
        <v>0</v>
      </c>
      <c r="U13" s="119">
        <f>IF(U3&lt;=ANALYSE!$I$11,-IPMT(ANALYSE!$I$10,U3,ANALYSE!$I$11,(ANALYSE!$B$21*ANALYSE!$I$9)),0)</f>
        <v>0</v>
      </c>
      <c r="V13" s="119">
        <f>IF(V3&lt;=ANALYSE!$I$11,-IPMT(ANALYSE!$I$10,V3,ANALYSE!$I$11,(ANALYSE!$B$21*ANALYSE!$I$9)),0)</f>
        <v>0</v>
      </c>
    </row>
    <row r="14" spans="1:43" ht="15" customHeight="1">
      <c r="A14" s="96" t="s">
        <v>25</v>
      </c>
      <c r="B14" s="107"/>
      <c r="C14" s="99" t="e">
        <f>C12-C13</f>
        <v>#DIV/0!</v>
      </c>
      <c r="D14" s="6" t="e">
        <f>D12-D13</f>
        <v>#DIV/0!</v>
      </c>
      <c r="E14" s="6" t="e">
        <f t="shared" ref="E14:V14" si="4">E12-E13</f>
        <v>#DIV/0!</v>
      </c>
      <c r="F14" s="6" t="e">
        <f t="shared" si="4"/>
        <v>#DIV/0!</v>
      </c>
      <c r="G14" s="6" t="e">
        <f t="shared" si="4"/>
        <v>#DIV/0!</v>
      </c>
      <c r="H14" s="6" t="e">
        <f t="shared" si="4"/>
        <v>#DIV/0!</v>
      </c>
      <c r="I14" s="6" t="e">
        <f t="shared" si="4"/>
        <v>#DIV/0!</v>
      </c>
      <c r="J14" s="6" t="e">
        <f t="shared" si="4"/>
        <v>#DIV/0!</v>
      </c>
      <c r="K14" s="6" t="e">
        <f t="shared" si="4"/>
        <v>#DIV/0!</v>
      </c>
      <c r="L14" s="6" t="e">
        <f t="shared" si="4"/>
        <v>#DIV/0!</v>
      </c>
      <c r="M14" s="6" t="e">
        <f t="shared" si="4"/>
        <v>#DIV/0!</v>
      </c>
      <c r="N14" s="6" t="e">
        <f t="shared" si="4"/>
        <v>#DIV/0!</v>
      </c>
      <c r="O14" s="6" t="e">
        <f t="shared" si="4"/>
        <v>#DIV/0!</v>
      </c>
      <c r="P14" s="6">
        <f t="shared" si="4"/>
        <v>-2987.213260907592</v>
      </c>
      <c r="Q14" s="6">
        <f t="shared" si="4"/>
        <v>-3038.9575261257442</v>
      </c>
      <c r="R14" s="6">
        <f t="shared" si="4"/>
        <v>-3091.7366766482583</v>
      </c>
      <c r="S14" s="6">
        <f t="shared" si="4"/>
        <v>-3145.5714101812241</v>
      </c>
      <c r="T14" s="6">
        <f t="shared" si="4"/>
        <v>-3200.4828383848489</v>
      </c>
      <c r="U14" s="6">
        <f t="shared" si="4"/>
        <v>-3256.4924951525454</v>
      </c>
      <c r="V14" s="6">
        <f t="shared" si="4"/>
        <v>-3313.6223450555963</v>
      </c>
      <c r="W14" s="17"/>
      <c r="X14" s="17"/>
      <c r="Y14" s="17"/>
      <c r="Z14" s="17"/>
      <c r="AA14" s="17"/>
      <c r="AB14" s="17"/>
      <c r="AC14" s="17"/>
      <c r="AD14" s="17"/>
      <c r="AE14" s="17"/>
      <c r="AF14" s="17"/>
      <c r="AG14" s="17"/>
      <c r="AH14" s="17"/>
      <c r="AI14" s="17"/>
      <c r="AJ14" s="17"/>
      <c r="AK14" s="17"/>
      <c r="AL14" s="17"/>
      <c r="AM14" s="17"/>
      <c r="AN14" s="17"/>
      <c r="AO14" s="17"/>
      <c r="AP14" s="17"/>
      <c r="AQ14" s="17"/>
    </row>
    <row r="15" spans="1:43">
      <c r="A15" s="95" t="s">
        <v>26</v>
      </c>
      <c r="B15" s="106"/>
      <c r="C15" s="98" t="e">
        <f>IF(C14&lt;0,C14,0)</f>
        <v>#DIV/0!</v>
      </c>
      <c r="D15" s="7" t="e">
        <f>IF(C15+D14&lt;0,C15+D14,0)</f>
        <v>#DIV/0!</v>
      </c>
      <c r="E15" s="7" t="e">
        <f>IF(D15+E14&lt;0,D15+E14,0)</f>
        <v>#DIV/0!</v>
      </c>
      <c r="F15" s="7" t="e">
        <f t="shared" ref="F15:V15" si="5">IF(E15+F14&lt;0,E15+F14,0)</f>
        <v>#DIV/0!</v>
      </c>
      <c r="G15" s="7" t="e">
        <f t="shared" si="5"/>
        <v>#DIV/0!</v>
      </c>
      <c r="H15" s="7" t="e">
        <f t="shared" si="5"/>
        <v>#DIV/0!</v>
      </c>
      <c r="I15" s="7" t="e">
        <f t="shared" si="5"/>
        <v>#DIV/0!</v>
      </c>
      <c r="J15" s="7" t="e">
        <f t="shared" si="5"/>
        <v>#DIV/0!</v>
      </c>
      <c r="K15" s="7" t="e">
        <f t="shared" si="5"/>
        <v>#DIV/0!</v>
      </c>
      <c r="L15" s="7" t="e">
        <f t="shared" si="5"/>
        <v>#DIV/0!</v>
      </c>
      <c r="M15" s="7" t="e">
        <f t="shared" si="5"/>
        <v>#DIV/0!</v>
      </c>
      <c r="N15" s="7" t="e">
        <f t="shared" si="5"/>
        <v>#DIV/0!</v>
      </c>
      <c r="O15" s="7" t="e">
        <f t="shared" si="5"/>
        <v>#DIV/0!</v>
      </c>
      <c r="P15" s="7" t="e">
        <f t="shared" si="5"/>
        <v>#DIV/0!</v>
      </c>
      <c r="Q15" s="7" t="e">
        <f t="shared" si="5"/>
        <v>#DIV/0!</v>
      </c>
      <c r="R15" s="7" t="e">
        <f t="shared" si="5"/>
        <v>#DIV/0!</v>
      </c>
      <c r="S15" s="7" t="e">
        <f t="shared" si="5"/>
        <v>#DIV/0!</v>
      </c>
      <c r="T15" s="7" t="e">
        <f t="shared" si="5"/>
        <v>#DIV/0!</v>
      </c>
      <c r="U15" s="7" t="e">
        <f t="shared" si="5"/>
        <v>#DIV/0!</v>
      </c>
      <c r="V15" s="7" t="e">
        <f t="shared" si="5"/>
        <v>#DIV/0!</v>
      </c>
      <c r="W15" s="10"/>
      <c r="X15" s="10"/>
      <c r="Y15" s="10"/>
      <c r="Z15" s="10"/>
      <c r="AA15" s="10"/>
      <c r="AB15" s="10"/>
      <c r="AC15" s="10"/>
      <c r="AD15" s="10"/>
      <c r="AE15" s="10"/>
      <c r="AF15" s="10"/>
      <c r="AG15" s="10"/>
      <c r="AH15" s="10"/>
      <c r="AI15" s="10"/>
      <c r="AJ15" s="10"/>
      <c r="AK15" s="10"/>
      <c r="AL15" s="10"/>
      <c r="AM15" s="10"/>
      <c r="AN15" s="10"/>
      <c r="AO15" s="10"/>
      <c r="AP15" s="10"/>
      <c r="AQ15" s="10"/>
    </row>
    <row r="16" spans="1:43">
      <c r="A16" s="95" t="s">
        <v>27</v>
      </c>
      <c r="B16" s="106"/>
      <c r="C16" s="98" t="e">
        <f>IF(C14&lt;0,0,IF(C14&lt;38120,0.15*C14,0.15*38120+0.28*(C14-38120)))</f>
        <v>#DIV/0!</v>
      </c>
      <c r="D16" s="7" t="e">
        <f>IF(C15+D14&lt;0,0,IF(C15+D14&lt;38120,0.15*(C15+D14),0.15*38120+0.28*(C15+D14-38120)))</f>
        <v>#DIV/0!</v>
      </c>
      <c r="E16" s="7" t="e">
        <f t="shared" ref="E16:V16" si="6">IF(D15+E14&lt;0,0,IF(D15+E14&lt;38120,0.15*(D15+E14),0.15*38120+0.28*(D15+E14-38120)))</f>
        <v>#DIV/0!</v>
      </c>
      <c r="F16" s="7" t="e">
        <f t="shared" si="6"/>
        <v>#DIV/0!</v>
      </c>
      <c r="G16" s="7" t="e">
        <f t="shared" si="6"/>
        <v>#DIV/0!</v>
      </c>
      <c r="H16" s="7" t="e">
        <f t="shared" si="6"/>
        <v>#DIV/0!</v>
      </c>
      <c r="I16" s="7" t="e">
        <f t="shared" si="6"/>
        <v>#DIV/0!</v>
      </c>
      <c r="J16" s="7" t="e">
        <f t="shared" si="6"/>
        <v>#DIV/0!</v>
      </c>
      <c r="K16" s="7" t="e">
        <f t="shared" si="6"/>
        <v>#DIV/0!</v>
      </c>
      <c r="L16" s="7" t="e">
        <f t="shared" si="6"/>
        <v>#DIV/0!</v>
      </c>
      <c r="M16" s="7" t="e">
        <f t="shared" si="6"/>
        <v>#DIV/0!</v>
      </c>
      <c r="N16" s="7" t="e">
        <f t="shared" si="6"/>
        <v>#DIV/0!</v>
      </c>
      <c r="O16" s="7" t="e">
        <f t="shared" si="6"/>
        <v>#DIV/0!</v>
      </c>
      <c r="P16" s="7" t="e">
        <f t="shared" si="6"/>
        <v>#DIV/0!</v>
      </c>
      <c r="Q16" s="7" t="e">
        <f t="shared" si="6"/>
        <v>#DIV/0!</v>
      </c>
      <c r="R16" s="7" t="e">
        <f t="shared" si="6"/>
        <v>#DIV/0!</v>
      </c>
      <c r="S16" s="7" t="e">
        <f t="shared" si="6"/>
        <v>#DIV/0!</v>
      </c>
      <c r="T16" s="7" t="e">
        <f t="shared" si="6"/>
        <v>#DIV/0!</v>
      </c>
      <c r="U16" s="7" t="e">
        <f t="shared" si="6"/>
        <v>#DIV/0!</v>
      </c>
      <c r="V16" s="7" t="e">
        <f t="shared" si="6"/>
        <v>#DIV/0!</v>
      </c>
      <c r="W16" s="18"/>
    </row>
    <row r="17" spans="1:22" ht="15" customHeight="1">
      <c r="A17" s="96" t="s">
        <v>28</v>
      </c>
      <c r="B17" s="107"/>
      <c r="C17" s="99" t="e">
        <f>C14-C16</f>
        <v>#DIV/0!</v>
      </c>
      <c r="D17" s="6" t="e">
        <f t="shared" ref="D17:V17" si="7">D14-D16</f>
        <v>#DIV/0!</v>
      </c>
      <c r="E17" s="6" t="e">
        <f t="shared" si="7"/>
        <v>#DIV/0!</v>
      </c>
      <c r="F17" s="6" t="e">
        <f t="shared" si="7"/>
        <v>#DIV/0!</v>
      </c>
      <c r="G17" s="6" t="e">
        <f t="shared" si="7"/>
        <v>#DIV/0!</v>
      </c>
      <c r="H17" s="6" t="e">
        <f t="shared" si="7"/>
        <v>#DIV/0!</v>
      </c>
      <c r="I17" s="6" t="e">
        <f t="shared" si="7"/>
        <v>#DIV/0!</v>
      </c>
      <c r="J17" s="6" t="e">
        <f t="shared" si="7"/>
        <v>#DIV/0!</v>
      </c>
      <c r="K17" s="6" t="e">
        <f t="shared" si="7"/>
        <v>#DIV/0!</v>
      </c>
      <c r="L17" s="6" t="e">
        <f t="shared" si="7"/>
        <v>#DIV/0!</v>
      </c>
      <c r="M17" s="6" t="e">
        <f t="shared" si="7"/>
        <v>#DIV/0!</v>
      </c>
      <c r="N17" s="6" t="e">
        <f t="shared" si="7"/>
        <v>#DIV/0!</v>
      </c>
      <c r="O17" s="6" t="e">
        <f t="shared" si="7"/>
        <v>#DIV/0!</v>
      </c>
      <c r="P17" s="6" t="e">
        <f t="shared" si="7"/>
        <v>#DIV/0!</v>
      </c>
      <c r="Q17" s="6" t="e">
        <f t="shared" si="7"/>
        <v>#DIV/0!</v>
      </c>
      <c r="R17" s="6" t="e">
        <f t="shared" si="7"/>
        <v>#DIV/0!</v>
      </c>
      <c r="S17" s="6" t="e">
        <f t="shared" si="7"/>
        <v>#DIV/0!</v>
      </c>
      <c r="T17" s="6" t="e">
        <f t="shared" si="7"/>
        <v>#DIV/0!</v>
      </c>
      <c r="U17" s="6" t="e">
        <f t="shared" si="7"/>
        <v>#DIV/0!</v>
      </c>
      <c r="V17" s="6" t="e">
        <f t="shared" si="7"/>
        <v>#DIV/0!</v>
      </c>
    </row>
    <row r="18" spans="1:22">
      <c r="A18" s="24"/>
      <c r="B18" s="108"/>
      <c r="C18" s="4"/>
      <c r="D18" s="4"/>
      <c r="E18" s="4"/>
      <c r="F18" s="4"/>
      <c r="G18" s="4"/>
      <c r="H18" s="4"/>
      <c r="I18" s="4"/>
      <c r="J18" s="4"/>
      <c r="K18" s="4"/>
      <c r="L18" s="4"/>
      <c r="M18" s="4"/>
      <c r="N18" s="4"/>
      <c r="O18" s="4"/>
      <c r="P18" s="4"/>
      <c r="Q18" s="4"/>
      <c r="R18" s="4"/>
      <c r="S18" s="4"/>
      <c r="T18" s="4"/>
      <c r="U18" s="4"/>
      <c r="V18" s="4"/>
    </row>
    <row r="19" spans="1:22" ht="15" customHeight="1">
      <c r="A19" s="69" t="s">
        <v>96</v>
      </c>
      <c r="B19" s="70"/>
      <c r="C19" s="98" t="e">
        <f>C17+C10</f>
        <v>#DIV/0!</v>
      </c>
      <c r="D19" s="7" t="e">
        <f t="shared" ref="D19:V19" si="8">D17+D10</f>
        <v>#DIV/0!</v>
      </c>
      <c r="E19" s="7" t="e">
        <f t="shared" si="8"/>
        <v>#DIV/0!</v>
      </c>
      <c r="F19" s="7" t="e">
        <f t="shared" si="8"/>
        <v>#DIV/0!</v>
      </c>
      <c r="G19" s="7" t="e">
        <f t="shared" si="8"/>
        <v>#DIV/0!</v>
      </c>
      <c r="H19" s="7" t="e">
        <f>H17+H10</f>
        <v>#DIV/0!</v>
      </c>
      <c r="I19" s="7" t="e">
        <f t="shared" si="8"/>
        <v>#DIV/0!</v>
      </c>
      <c r="J19" s="7" t="e">
        <f t="shared" si="8"/>
        <v>#DIV/0!</v>
      </c>
      <c r="K19" s="7" t="e">
        <f t="shared" si="8"/>
        <v>#DIV/0!</v>
      </c>
      <c r="L19" s="7" t="e">
        <f t="shared" si="8"/>
        <v>#DIV/0!</v>
      </c>
      <c r="M19" s="7" t="e">
        <f t="shared" si="8"/>
        <v>#DIV/0!</v>
      </c>
      <c r="N19" s="7" t="e">
        <f t="shared" si="8"/>
        <v>#DIV/0!</v>
      </c>
      <c r="O19" s="7" t="e">
        <f t="shared" si="8"/>
        <v>#DIV/0!</v>
      </c>
      <c r="P19" s="7" t="e">
        <f t="shared" si="8"/>
        <v>#DIV/0!</v>
      </c>
      <c r="Q19" s="7" t="e">
        <f t="shared" si="8"/>
        <v>#DIV/0!</v>
      </c>
      <c r="R19" s="7" t="e">
        <f t="shared" si="8"/>
        <v>#DIV/0!</v>
      </c>
      <c r="S19" s="7" t="e">
        <f t="shared" si="8"/>
        <v>#DIV/0!</v>
      </c>
      <c r="T19" s="7" t="e">
        <f t="shared" si="8"/>
        <v>#DIV/0!</v>
      </c>
      <c r="U19" s="7" t="e">
        <f t="shared" si="8"/>
        <v>#DIV/0!</v>
      </c>
      <c r="V19" s="7" t="e">
        <f t="shared" si="8"/>
        <v>#DIV/0!</v>
      </c>
    </row>
    <row r="20" spans="1:22">
      <c r="A20" s="69" t="s">
        <v>29</v>
      </c>
      <c r="B20" s="70"/>
      <c r="C20" s="98" t="e">
        <f>C19*(1+ANALYSE!$I$21)^-(SIG!C3-1)</f>
        <v>#DIV/0!</v>
      </c>
      <c r="D20" s="7" t="e">
        <f>D19*(1+ANALYSE!$I$21)^-(SIG!D3-1)</f>
        <v>#DIV/0!</v>
      </c>
      <c r="E20" s="7" t="e">
        <f>E19*(1+ANALYSE!$I$21)^-(SIG!E3-1)</f>
        <v>#DIV/0!</v>
      </c>
      <c r="F20" s="7" t="e">
        <f>F19*(1+ANALYSE!$I$21)^-(SIG!F3-1)</f>
        <v>#DIV/0!</v>
      </c>
      <c r="G20" s="7" t="e">
        <f>G19*(1+ANALYSE!$I$21)^-(SIG!G3-1)</f>
        <v>#DIV/0!</v>
      </c>
      <c r="H20" s="7" t="e">
        <f>H19*(1+ANALYSE!$I$21)^-(SIG!H3-1)</f>
        <v>#DIV/0!</v>
      </c>
      <c r="I20" s="7" t="e">
        <f>I19*(1+ANALYSE!$I$21)^-(SIG!I3-1)</f>
        <v>#DIV/0!</v>
      </c>
      <c r="J20" s="7" t="e">
        <f>J19*(1+ANALYSE!$I$21)^-(SIG!J3-1)</f>
        <v>#DIV/0!</v>
      </c>
      <c r="K20" s="7" t="e">
        <f>K19*(1+ANALYSE!$I$21)^-(SIG!K3-1)</f>
        <v>#DIV/0!</v>
      </c>
      <c r="L20" s="7" t="e">
        <f>L19*(1+ANALYSE!$I$21)^-(SIG!L3-1)</f>
        <v>#DIV/0!</v>
      </c>
      <c r="M20" s="7" t="e">
        <f>M19*(1+ANALYSE!$I$21)^-(SIG!M3-1)</f>
        <v>#DIV/0!</v>
      </c>
      <c r="N20" s="7" t="e">
        <f>N19*(1+ANALYSE!$I$21)^-(SIG!N3-1)</f>
        <v>#DIV/0!</v>
      </c>
      <c r="O20" s="7" t="e">
        <f>O19*(1+ANALYSE!$I$21)^-(SIG!O3-1)</f>
        <v>#DIV/0!</v>
      </c>
      <c r="P20" s="7" t="e">
        <f>P19*(1+ANALYSE!$I$21)^-(SIG!P3-1)</f>
        <v>#DIV/0!</v>
      </c>
      <c r="Q20" s="7" t="e">
        <f>Q19*(1+ANALYSE!$I$21)^-(SIG!Q3-1)</f>
        <v>#DIV/0!</v>
      </c>
      <c r="R20" s="7" t="e">
        <f>R19*(1+ANALYSE!$I$21)^-(SIG!R3-1)</f>
        <v>#DIV/0!</v>
      </c>
      <c r="S20" s="7" t="e">
        <f>S19*(1+ANALYSE!$I$21)^-(SIG!S3-1)</f>
        <v>#DIV/0!</v>
      </c>
      <c r="T20" s="7" t="e">
        <f>T19*(1+ANALYSE!$I$21)^-(SIG!T3-1)</f>
        <v>#DIV/0!</v>
      </c>
      <c r="U20" s="7" t="e">
        <f>U19*(1+ANALYSE!$I$21)^-(SIG!U3-1)</f>
        <v>#DIV/0!</v>
      </c>
      <c r="V20" s="7" t="e">
        <f>V19*(1+ANALYSE!$I$21)^-(SIG!V3-1)</f>
        <v>#DIV/0!</v>
      </c>
    </row>
    <row r="21" spans="1:22">
      <c r="A21" s="97" t="s">
        <v>30</v>
      </c>
      <c r="B21" s="109"/>
      <c r="C21" s="101" t="e">
        <f>C20-(ANALYSE!B21-subvention)</f>
        <v>#DIV/0!</v>
      </c>
      <c r="D21" s="8" t="e">
        <f>C21+D20</f>
        <v>#DIV/0!</v>
      </c>
      <c r="E21" s="8" t="e">
        <f t="shared" ref="E21:V21" si="9">D21+E20</f>
        <v>#DIV/0!</v>
      </c>
      <c r="F21" s="8" t="e">
        <f t="shared" si="9"/>
        <v>#DIV/0!</v>
      </c>
      <c r="G21" s="8" t="e">
        <f t="shared" si="9"/>
        <v>#DIV/0!</v>
      </c>
      <c r="H21" s="8" t="e">
        <f t="shared" si="9"/>
        <v>#DIV/0!</v>
      </c>
      <c r="I21" s="8" t="e">
        <f t="shared" si="9"/>
        <v>#DIV/0!</v>
      </c>
      <c r="J21" s="8" t="e">
        <f t="shared" si="9"/>
        <v>#DIV/0!</v>
      </c>
      <c r="K21" s="8" t="e">
        <f t="shared" si="9"/>
        <v>#DIV/0!</v>
      </c>
      <c r="L21" s="8" t="e">
        <f t="shared" si="9"/>
        <v>#DIV/0!</v>
      </c>
      <c r="M21" s="8" t="e">
        <f t="shared" si="9"/>
        <v>#DIV/0!</v>
      </c>
      <c r="N21" s="8" t="e">
        <f t="shared" si="9"/>
        <v>#DIV/0!</v>
      </c>
      <c r="O21" s="8" t="e">
        <f t="shared" si="9"/>
        <v>#DIV/0!</v>
      </c>
      <c r="P21" s="8" t="e">
        <f t="shared" si="9"/>
        <v>#DIV/0!</v>
      </c>
      <c r="Q21" s="8" t="e">
        <f t="shared" si="9"/>
        <v>#DIV/0!</v>
      </c>
      <c r="R21" s="8" t="e">
        <f t="shared" si="9"/>
        <v>#DIV/0!</v>
      </c>
      <c r="S21" s="8" t="e">
        <f t="shared" si="9"/>
        <v>#DIV/0!</v>
      </c>
      <c r="T21" s="8" t="e">
        <f t="shared" si="9"/>
        <v>#DIV/0!</v>
      </c>
      <c r="U21" s="8" t="e">
        <f t="shared" si="9"/>
        <v>#DIV/0!</v>
      </c>
      <c r="V21" s="8" t="e">
        <f t="shared" si="9"/>
        <v>#DIV/0!</v>
      </c>
    </row>
    <row r="22" spans="1:22" ht="14.4" customHeight="1">
      <c r="A22" s="69" t="s">
        <v>50</v>
      </c>
      <c r="B22" s="70">
        <f>-ANALYSE!B21+subvention</f>
        <v>0</v>
      </c>
      <c r="C22" s="102" t="e">
        <f>C19+C13</f>
        <v>#DIV/0!</v>
      </c>
      <c r="D22" s="22" t="e">
        <f>D19+D13</f>
        <v>#DIV/0!</v>
      </c>
      <c r="E22" s="22" t="e">
        <f t="shared" ref="E22:V22" si="10">E19+E13</f>
        <v>#DIV/0!</v>
      </c>
      <c r="F22" s="22" t="e">
        <f t="shared" si="10"/>
        <v>#DIV/0!</v>
      </c>
      <c r="G22" s="22" t="e">
        <f t="shared" si="10"/>
        <v>#DIV/0!</v>
      </c>
      <c r="H22" s="22" t="e">
        <f t="shared" si="10"/>
        <v>#DIV/0!</v>
      </c>
      <c r="I22" s="22" t="e">
        <f t="shared" si="10"/>
        <v>#DIV/0!</v>
      </c>
      <c r="J22" s="22" t="e">
        <f t="shared" si="10"/>
        <v>#DIV/0!</v>
      </c>
      <c r="K22" s="22" t="e">
        <f t="shared" si="10"/>
        <v>#DIV/0!</v>
      </c>
      <c r="L22" s="22" t="e">
        <f t="shared" si="10"/>
        <v>#DIV/0!</v>
      </c>
      <c r="M22" s="22" t="e">
        <f t="shared" si="10"/>
        <v>#DIV/0!</v>
      </c>
      <c r="N22" s="22" t="e">
        <f t="shared" si="10"/>
        <v>#DIV/0!</v>
      </c>
      <c r="O22" s="22" t="e">
        <f t="shared" si="10"/>
        <v>#DIV/0!</v>
      </c>
      <c r="P22" s="22" t="e">
        <f t="shared" si="10"/>
        <v>#DIV/0!</v>
      </c>
      <c r="Q22" s="22" t="e">
        <f t="shared" si="10"/>
        <v>#DIV/0!</v>
      </c>
      <c r="R22" s="22" t="e">
        <f t="shared" si="10"/>
        <v>#DIV/0!</v>
      </c>
      <c r="S22" s="22" t="e">
        <f t="shared" si="10"/>
        <v>#DIV/0!</v>
      </c>
      <c r="T22" s="22" t="e">
        <f t="shared" si="10"/>
        <v>#DIV/0!</v>
      </c>
      <c r="U22" s="22" t="e">
        <f t="shared" si="10"/>
        <v>#DIV/0!</v>
      </c>
      <c r="V22" s="22" t="e">
        <f t="shared" si="10"/>
        <v>#DIV/0!</v>
      </c>
    </row>
    <row r="23" spans="1:22" ht="14.4" customHeight="1">
      <c r="A23" s="69" t="s">
        <v>46</v>
      </c>
      <c r="B23" s="70"/>
      <c r="C23" s="102" t="e">
        <f>IF(SIG!C3&lt;=ANALYSE!$I$11,PPMT(ANALYSE!$I$10,SIG!C3,ANALYSE!$I$11,ANALYSE!$I$9*ANALYSE!$B$21),0)</f>
        <v>#DIV/0!</v>
      </c>
      <c r="D23" s="22" t="e">
        <f>IF(SIG!D3&lt;=ANALYSE!$I$11,PPMT(ANALYSE!$I$10,SIG!D3,ANALYSE!$I$11,ANALYSE!$I$9*ANALYSE!$B$21),0)</f>
        <v>#DIV/0!</v>
      </c>
      <c r="E23" s="22" t="e">
        <f>IF(SIG!E3&lt;=ANALYSE!$I$11,PPMT(ANALYSE!$I$10,SIG!E3,ANALYSE!$I$11,ANALYSE!$I$9*ANALYSE!$B$21),0)</f>
        <v>#DIV/0!</v>
      </c>
      <c r="F23" s="22" t="e">
        <f>IF(SIG!F3&lt;=ANALYSE!$I$11,PPMT(ANALYSE!$I$10,SIG!F3,ANALYSE!$I$11,ANALYSE!$I$9*ANALYSE!$B$21),0)</f>
        <v>#DIV/0!</v>
      </c>
      <c r="G23" s="22" t="e">
        <f>IF(SIG!G3&lt;=ANALYSE!$I$11,PPMT(ANALYSE!$I$10,SIG!G3,ANALYSE!$I$11,ANALYSE!$I$9*ANALYSE!$B$21),0)</f>
        <v>#DIV/0!</v>
      </c>
      <c r="H23" s="22" t="e">
        <f>IF(SIG!H3&lt;=ANALYSE!$I$11,PPMT(ANALYSE!$I$10,SIG!H3,ANALYSE!$I$11,ANALYSE!$I$9*ANALYSE!$B$21),0)</f>
        <v>#DIV/0!</v>
      </c>
      <c r="I23" s="22" t="e">
        <f>IF(SIG!I3&lt;=ANALYSE!$I$11,PPMT(ANALYSE!$I$10,SIG!I3,ANALYSE!$I$11,ANALYSE!$I$9*ANALYSE!$B$21),0)</f>
        <v>#DIV/0!</v>
      </c>
      <c r="J23" s="22" t="e">
        <f>IF(SIG!J3&lt;=ANALYSE!$I$11,PPMT(ANALYSE!$I$10,SIG!J3,ANALYSE!$I$11,ANALYSE!$I$9*ANALYSE!$B$21),0)</f>
        <v>#DIV/0!</v>
      </c>
      <c r="K23" s="22" t="e">
        <f>IF(SIG!K3&lt;=ANALYSE!$I$11,PPMT(ANALYSE!$I$10,SIG!K3,ANALYSE!$I$11,ANALYSE!$I$9*ANALYSE!$B$21),0)</f>
        <v>#DIV/0!</v>
      </c>
      <c r="L23" s="22" t="e">
        <f>IF(SIG!L3&lt;=ANALYSE!$I$11,PPMT(ANALYSE!$I$10,SIG!L3,ANALYSE!$I$11,ANALYSE!$I$9*ANALYSE!$B$21),0)</f>
        <v>#DIV/0!</v>
      </c>
      <c r="M23" s="22" t="e">
        <f>IF(SIG!M3&lt;=ANALYSE!$I$11,PPMT(ANALYSE!$I$10,SIG!M3,ANALYSE!$I$11,ANALYSE!$I$9*ANALYSE!$B$21),0)</f>
        <v>#DIV/0!</v>
      </c>
      <c r="N23" s="22" t="e">
        <f>IF(SIG!N3&lt;=ANALYSE!$I$11,PPMT(ANALYSE!$I$10,SIG!N3,ANALYSE!$I$11,ANALYSE!$I$9*ANALYSE!$B$21),0)</f>
        <v>#DIV/0!</v>
      </c>
      <c r="O23" s="22" t="e">
        <f>IF(SIG!O3&lt;=ANALYSE!$I$11,PPMT(ANALYSE!$I$10,SIG!O3,ANALYSE!$I$11,ANALYSE!$I$9*ANALYSE!$B$21),0)</f>
        <v>#DIV/0!</v>
      </c>
      <c r="P23" s="22">
        <f>IF(SIG!P3&lt;=ANALYSE!$I$11,PPMT(ANALYSE!$I$10,SIG!P3,ANALYSE!$I$11,ANALYSE!$I$9*ANALYSE!$B$21),0)</f>
        <v>0</v>
      </c>
      <c r="Q23" s="22">
        <f>IF(SIG!Q3&lt;=ANALYSE!$I$11,PPMT(ANALYSE!$I$10,SIG!Q3,ANALYSE!$I$11,ANALYSE!$I$9*ANALYSE!$B$21),0)</f>
        <v>0</v>
      </c>
      <c r="R23" s="22">
        <f>IF(SIG!R3&lt;=ANALYSE!$I$11,PPMT(ANALYSE!$I$10,SIG!R3,ANALYSE!$I$11,ANALYSE!$I$9*ANALYSE!$B$21),0)</f>
        <v>0</v>
      </c>
      <c r="S23" s="22">
        <f>IF(SIG!S3&lt;=ANALYSE!$I$11,PPMT(ANALYSE!$I$10,SIG!S3,ANALYSE!$I$11,ANALYSE!$I$9*ANALYSE!$B$21),0)</f>
        <v>0</v>
      </c>
      <c r="T23" s="22">
        <f>IF(SIG!T3&lt;=ANALYSE!$I$11,PPMT(ANALYSE!$I$10,SIG!T3,ANALYSE!$I$11,ANALYSE!$I$9*ANALYSE!$B$21),0)</f>
        <v>0</v>
      </c>
      <c r="U23" s="22">
        <f>IF(SIG!U3&lt;=ANALYSE!$I$11,PPMT(ANALYSE!$I$10,SIG!U3,ANALYSE!$I$11,ANALYSE!$I$9*ANALYSE!$B$21),0)</f>
        <v>0</v>
      </c>
      <c r="V23" s="22">
        <f>IF(SIG!V3&lt;=ANALYSE!$I$11,PPMT(ANALYSE!$I$10,SIG!V3,ANALYSE!$I$11,ANALYSE!$I$9*ANALYSE!$B$21),0)</f>
        <v>0</v>
      </c>
    </row>
    <row r="24" spans="1:22">
      <c r="A24" s="69" t="s">
        <v>54</v>
      </c>
      <c r="B24" s="70">
        <f>-ANALYSE!I6</f>
        <v>0</v>
      </c>
      <c r="C24" s="102" t="e">
        <f>C19+C23</f>
        <v>#DIV/0!</v>
      </c>
      <c r="D24" s="22" t="e">
        <f t="shared" ref="D24:V24" si="11">D19+D23</f>
        <v>#DIV/0!</v>
      </c>
      <c r="E24" s="22" t="e">
        <f t="shared" si="11"/>
        <v>#DIV/0!</v>
      </c>
      <c r="F24" s="22" t="e">
        <f t="shared" si="11"/>
        <v>#DIV/0!</v>
      </c>
      <c r="G24" s="22" t="e">
        <f t="shared" si="11"/>
        <v>#DIV/0!</v>
      </c>
      <c r="H24" s="22" t="e">
        <f t="shared" si="11"/>
        <v>#DIV/0!</v>
      </c>
      <c r="I24" s="22" t="e">
        <f t="shared" si="11"/>
        <v>#DIV/0!</v>
      </c>
      <c r="J24" s="22" t="e">
        <f t="shared" si="11"/>
        <v>#DIV/0!</v>
      </c>
      <c r="K24" s="22" t="e">
        <f t="shared" si="11"/>
        <v>#DIV/0!</v>
      </c>
      <c r="L24" s="22" t="e">
        <f t="shared" si="11"/>
        <v>#DIV/0!</v>
      </c>
      <c r="M24" s="22" t="e">
        <f t="shared" si="11"/>
        <v>#DIV/0!</v>
      </c>
      <c r="N24" s="22" t="e">
        <f t="shared" si="11"/>
        <v>#DIV/0!</v>
      </c>
      <c r="O24" s="22" t="e">
        <f t="shared" si="11"/>
        <v>#DIV/0!</v>
      </c>
      <c r="P24" s="22" t="e">
        <f t="shared" si="11"/>
        <v>#DIV/0!</v>
      </c>
      <c r="Q24" s="22" t="e">
        <f t="shared" si="11"/>
        <v>#DIV/0!</v>
      </c>
      <c r="R24" s="22" t="e">
        <f t="shared" si="11"/>
        <v>#DIV/0!</v>
      </c>
      <c r="S24" s="22" t="e">
        <f t="shared" si="11"/>
        <v>#DIV/0!</v>
      </c>
      <c r="T24" s="22" t="e">
        <f t="shared" si="11"/>
        <v>#DIV/0!</v>
      </c>
      <c r="U24" s="22" t="e">
        <f t="shared" si="11"/>
        <v>#DIV/0!</v>
      </c>
      <c r="V24" s="22" t="e">
        <f t="shared" si="11"/>
        <v>#DIV/0!</v>
      </c>
    </row>
    <row r="25" spans="1:22">
      <c r="C25"/>
      <c r="D25"/>
      <c r="E25"/>
      <c r="F25"/>
      <c r="G25"/>
      <c r="H25"/>
      <c r="I25"/>
      <c r="J25"/>
      <c r="K25"/>
      <c r="L25"/>
      <c r="M25"/>
      <c r="N25"/>
      <c r="O25"/>
      <c r="P25"/>
      <c r="Q25"/>
      <c r="R25"/>
      <c r="S25"/>
      <c r="T25"/>
      <c r="U25"/>
      <c r="V25"/>
    </row>
    <row r="26" spans="1:22" ht="15" customHeight="1">
      <c r="A26" s="69" t="s">
        <v>36</v>
      </c>
      <c r="B26" s="70"/>
      <c r="C26" s="103" t="e">
        <f>IF(C3&lt;=ANALYSE!$I$11,SIG!C9/-PMT(ANALYSE!$I$10,ANALYSE!$I$11,ANALYSE!$I$9*ANALYSE!$B$21),"")</f>
        <v>#DIV/0!</v>
      </c>
      <c r="D26" s="21" t="e">
        <f>IF(D3&lt;=ANALYSE!$I$11,SIG!D9/-PMT(ANALYSE!$I$10,ANALYSE!$I$11,ANALYSE!$I$9*ANALYSE!$B$21),"")</f>
        <v>#DIV/0!</v>
      </c>
      <c r="E26" s="21" t="e">
        <f>IF(E3&lt;=ANALYSE!$I$11,SIG!E9/-PMT(ANALYSE!$I$10,ANALYSE!$I$11,ANALYSE!$I$9*ANALYSE!$B$21),"")</f>
        <v>#DIV/0!</v>
      </c>
      <c r="F26" s="21" t="e">
        <f>IF(F3&lt;=ANALYSE!$I$11,SIG!F9/-PMT(ANALYSE!$I$10,ANALYSE!$I$11,ANALYSE!$I$9*ANALYSE!$B$21),"")</f>
        <v>#DIV/0!</v>
      </c>
      <c r="G26" s="21" t="e">
        <f>IF(G3&lt;=ANALYSE!$I$11,SIG!G9/-PMT(ANALYSE!$I$10,ANALYSE!$I$11,ANALYSE!$I$9*ANALYSE!$B$21),"")</f>
        <v>#DIV/0!</v>
      </c>
      <c r="H26" s="21" t="e">
        <f>IF(H3&lt;=ANALYSE!$I$11,SIG!H9/-PMT(ANALYSE!$I$10,ANALYSE!$I$11,ANALYSE!$I$9*ANALYSE!$B$21),"")</f>
        <v>#DIV/0!</v>
      </c>
      <c r="I26" s="21" t="e">
        <f>IF(I3&lt;=ANALYSE!$I$11,SIG!I9/-PMT(ANALYSE!$I$10,ANALYSE!$I$11,ANALYSE!$I$9*ANALYSE!$B$21),"")</f>
        <v>#DIV/0!</v>
      </c>
      <c r="J26" s="21" t="e">
        <f>IF(J3&lt;=ANALYSE!$I$11,SIG!J9/-PMT(ANALYSE!$I$10,ANALYSE!$I$11,ANALYSE!$I$9*ANALYSE!$B$21),"")</f>
        <v>#DIV/0!</v>
      </c>
      <c r="K26" s="21" t="e">
        <f>IF(K3&lt;=ANALYSE!$I$11,SIG!K9/-PMT(ANALYSE!$I$10,ANALYSE!$I$11,ANALYSE!$I$9*ANALYSE!$B$21),"")</f>
        <v>#DIV/0!</v>
      </c>
      <c r="L26" s="21" t="e">
        <f>IF(L3&lt;=ANALYSE!$I$11,SIG!L9/-PMT(ANALYSE!$I$10,ANALYSE!$I$11,ANALYSE!$I$9*ANALYSE!$B$21),"")</f>
        <v>#DIV/0!</v>
      </c>
      <c r="M26" s="21" t="e">
        <f>IF(M3&lt;=ANALYSE!$I$11,SIG!M9/-PMT(ANALYSE!$I$10,ANALYSE!$I$11,ANALYSE!$I$9*ANALYSE!$B$21),"")</f>
        <v>#DIV/0!</v>
      </c>
      <c r="N26" s="21" t="e">
        <f>IF(N3&lt;=ANALYSE!$I$11,SIG!N9/-PMT(ANALYSE!$I$10,ANALYSE!$I$11,ANALYSE!$I$9*ANALYSE!$B$21),"")</f>
        <v>#DIV/0!</v>
      </c>
      <c r="O26" s="21" t="e">
        <f>IF(O3&lt;=ANALYSE!$I$11,SIG!O9/-PMT(ANALYSE!$I$10,ANALYSE!$I$11,ANALYSE!$I$9*ANALYSE!$B$21),"")</f>
        <v>#DIV/0!</v>
      </c>
      <c r="P26" s="21" t="str">
        <f>IF(P3&lt;=ANALYSE!$I$11,SIG!P9/-PMT(ANALYSE!$I$10,ANALYSE!$I$11,ANALYSE!$I$9*ANALYSE!$B$21),"")</f>
        <v/>
      </c>
      <c r="Q26" s="21" t="str">
        <f>IF(Q3&lt;=ANALYSE!$I$11,SIG!Q9/-PMT(ANALYSE!$I$10,ANALYSE!$I$11,ANALYSE!$I$9*ANALYSE!$B$21),"")</f>
        <v/>
      </c>
      <c r="R26" s="21" t="str">
        <f>IF(R3&lt;=ANALYSE!$I$11,SIG!R9/-PMT(ANALYSE!$I$10,ANALYSE!$I$11,ANALYSE!$I$9*ANALYSE!$B$21),"")</f>
        <v/>
      </c>
      <c r="S26" s="21" t="str">
        <f>IF(S3&lt;=ANALYSE!$I$11,SIG!S9/-PMT(ANALYSE!$I$10,ANALYSE!$I$11,ANALYSE!$I$9*ANALYSE!$B$21),"")</f>
        <v/>
      </c>
      <c r="T26" s="21" t="str">
        <f>IF(T3&lt;=ANALYSE!$I$11,SIG!T9/-PMT(ANALYSE!$I$10,ANALYSE!$I$11,ANALYSE!$I$9*ANALYSE!$B$21),"")</f>
        <v/>
      </c>
      <c r="U26" s="21" t="str">
        <f>IF(U3&lt;=ANALYSE!$I$11,SIG!U9/-PMT(ANALYSE!$I$10,ANALYSE!$I$11,ANALYSE!$I$9*ANALYSE!$B$21),"")</f>
        <v/>
      </c>
      <c r="V26" s="21" t="str">
        <f>IF(V3&lt;=ANALYSE!$I$11,SIG!V9/-PMT(ANALYSE!$I$10,ANALYSE!$I$11,ANALYSE!$I$9*ANALYSE!$B$21),"")</f>
        <v/>
      </c>
    </row>
    <row r="27" spans="1:22">
      <c r="C27"/>
      <c r="D27"/>
      <c r="E27"/>
      <c r="F27"/>
      <c r="G27"/>
      <c r="H27"/>
      <c r="I27"/>
      <c r="J27"/>
      <c r="K27"/>
      <c r="L27"/>
      <c r="M27"/>
      <c r="N27"/>
      <c r="O27"/>
      <c r="P27"/>
      <c r="Q27"/>
      <c r="R27"/>
      <c r="S27"/>
      <c r="T27"/>
      <c r="U27"/>
      <c r="V27"/>
    </row>
    <row r="28" spans="1:22" ht="15" customHeight="1">
      <c r="A28" s="95" t="s">
        <v>99</v>
      </c>
      <c r="B28" s="106"/>
      <c r="C28" s="102" t="e">
        <f>IF(C3&lt;4,IF(C17&lt;0,0,C17*ANALYSE!$I$17),ANALYSE!$I$18*C17)</f>
        <v>#DIV/0!</v>
      </c>
      <c r="D28" s="22" t="e">
        <f>IF(D3&lt;4,IF(D17&lt;0,0,SIG!D17*ANALYSE!$I$17),ANALYSE!$I$18*D17)</f>
        <v>#DIV/0!</v>
      </c>
      <c r="E28" s="22" t="e">
        <f>IF(E3&lt;4,IF(E17&lt;0,0,SIG!E17*ANALYSE!$I$17),ANALYSE!$I$18*E17)</f>
        <v>#DIV/0!</v>
      </c>
      <c r="F28" s="22" t="e">
        <f>IF(F3&lt;4,IF(F17&lt;0,0,SIG!F17*ANALYSE!$I$17),ANALYSE!$I$18*F17)</f>
        <v>#DIV/0!</v>
      </c>
      <c r="G28" s="22" t="e">
        <f>IF(G3&lt;4,IF(G17&lt;0,0,SIG!G17*ANALYSE!$I$17),ANALYSE!$I$18*G17)</f>
        <v>#DIV/0!</v>
      </c>
      <c r="H28" s="22" t="e">
        <f>IF(H3&lt;4,IF(H17&lt;0,0,SIG!H17*ANALYSE!$I$17),ANALYSE!$I$18*H17)</f>
        <v>#DIV/0!</v>
      </c>
      <c r="I28" s="22" t="e">
        <f>IF(I3&lt;4,IF(I17&lt;0,0,SIG!I17*ANALYSE!$I$17),ANALYSE!$I$18*I17)</f>
        <v>#DIV/0!</v>
      </c>
      <c r="J28" s="22" t="e">
        <f>IF(J3&lt;4,IF(J17&lt;0,0,SIG!J17*ANALYSE!$I$17),ANALYSE!$I$18*J17)</f>
        <v>#DIV/0!</v>
      </c>
      <c r="K28" s="22" t="e">
        <f>IF(K3&lt;4,IF(K17&lt;0,0,SIG!K17*ANALYSE!$I$17),ANALYSE!$I$18*K17)</f>
        <v>#DIV/0!</v>
      </c>
      <c r="L28" s="22" t="e">
        <f>IF(L3&lt;4,IF(L17&lt;0,0,SIG!L17*ANALYSE!$I$17),ANALYSE!$I$18*L17)</f>
        <v>#DIV/0!</v>
      </c>
      <c r="M28" s="22" t="e">
        <f>IF(M3&lt;4,IF(M17&lt;0,0,SIG!M17*ANALYSE!$I$17),ANALYSE!$I$18*M17)</f>
        <v>#DIV/0!</v>
      </c>
      <c r="N28" s="22" t="e">
        <f>IF(N3&lt;4,IF(N17&lt;0,0,SIG!N17*ANALYSE!$I$17),ANALYSE!$I$18*N17)</f>
        <v>#DIV/0!</v>
      </c>
      <c r="O28" s="22" t="e">
        <f>IF(O3&lt;4,IF(O17&lt;0,0,SIG!O17*ANALYSE!$I$17),ANALYSE!$I$18*O17)</f>
        <v>#DIV/0!</v>
      </c>
      <c r="P28" s="22" t="e">
        <f>IF(P3&lt;4,IF(P17&lt;0,0,SIG!P17*ANALYSE!$I$17),ANALYSE!$I$18*P17)</f>
        <v>#DIV/0!</v>
      </c>
      <c r="Q28" s="22" t="e">
        <f>IF(Q3&lt;4,IF(Q17&lt;0,0,SIG!Q17*ANALYSE!$I$17),ANALYSE!$I$18*Q17)</f>
        <v>#DIV/0!</v>
      </c>
      <c r="R28" s="22" t="e">
        <f>IF(R3&lt;4,IF(R17&lt;0,0,SIG!R17*ANALYSE!$I$17),ANALYSE!$I$18*R17)</f>
        <v>#DIV/0!</v>
      </c>
      <c r="S28" s="22" t="e">
        <f>IF(S3&lt;4,IF(S17&lt;0,0,SIG!S17*ANALYSE!$I$17),ANALYSE!$I$18*S17)</f>
        <v>#DIV/0!</v>
      </c>
      <c r="T28" s="22" t="e">
        <f>IF(T3&lt;4,IF(T17&lt;0,0,SIG!T17*ANALYSE!$I$17),ANALYSE!$I$18*T17)</f>
        <v>#DIV/0!</v>
      </c>
      <c r="U28" s="22" t="e">
        <f>IF(U3&lt;4,IF(U17&lt;0,0,SIG!U17*ANALYSE!$I$17),ANALYSE!$I$18*U17)</f>
        <v>#DIV/0!</v>
      </c>
      <c r="V28" s="22" t="e">
        <f>IF(V3&lt;4,IF(V17&lt;0,0,SIG!V17*ANALYSE!$I$17),ANALYSE!$I$18*V17)</f>
        <v>#DIV/0!</v>
      </c>
    </row>
    <row r="29" spans="1:22" ht="15" customHeight="1">
      <c r="A29" s="95" t="s">
        <v>42</v>
      </c>
      <c r="B29" s="106"/>
      <c r="C29" s="104" t="e">
        <f>IF(C17&lt;0,0,(C17-C28)*(100%-ANALYSE!$I$22))</f>
        <v>#DIV/0!</v>
      </c>
      <c r="D29" s="23" t="e">
        <f>IF(D17&lt;0,0,(D17-D28)*(100%-ANALYSE!$I$22))</f>
        <v>#DIV/0!</v>
      </c>
      <c r="E29" s="23" t="e">
        <f>IF(E17&lt;0,0,(E17-E28)*(100%-ANALYSE!$I$22))</f>
        <v>#DIV/0!</v>
      </c>
      <c r="F29" s="22" t="e">
        <f>IF(F17&lt;0,0,(F17-F28)*(100%-ANALYSE!$I$22))</f>
        <v>#DIV/0!</v>
      </c>
      <c r="G29" s="22" t="e">
        <f>IF(G17&lt;0,0,(G17-G28)*(100%-ANALYSE!$I$22))</f>
        <v>#DIV/0!</v>
      </c>
      <c r="H29" s="22" t="e">
        <f>IF(H17&lt;0,0,(H17-H28)*(100%-ANALYSE!$I$22))</f>
        <v>#DIV/0!</v>
      </c>
      <c r="I29" s="22" t="e">
        <f>IF(I17&lt;0,0,(I17-I28)*(100%-ANALYSE!$I$22))</f>
        <v>#DIV/0!</v>
      </c>
      <c r="J29" s="22" t="e">
        <f>IF(J17&lt;0,0,(J17-J28)*(100%-ANALYSE!$I$22))</f>
        <v>#DIV/0!</v>
      </c>
      <c r="K29" s="22" t="e">
        <f>IF(K17&lt;0,0,(K17-K28)*(100%-ANALYSE!$I$22))</f>
        <v>#DIV/0!</v>
      </c>
      <c r="L29" s="22" t="e">
        <f>IF(L17&lt;0,0,(L17-L28)*(100%-ANALYSE!$I$22))</f>
        <v>#DIV/0!</v>
      </c>
      <c r="M29" s="22" t="e">
        <f>IF(M17&lt;0,0,(M17-M28)*(100%-ANALYSE!$I$22))</f>
        <v>#DIV/0!</v>
      </c>
      <c r="N29" s="22" t="e">
        <f>IF(N17&lt;0,0,(N17-N28)*(100%-ANALYSE!$I$22))</f>
        <v>#DIV/0!</v>
      </c>
      <c r="O29" s="22" t="e">
        <f>IF(O17&lt;0,0,(O17-O28)*(100%-ANALYSE!$I$22))</f>
        <v>#DIV/0!</v>
      </c>
      <c r="P29" s="22" t="e">
        <f>IF(P17&lt;0,0,(P17-P28)*(100%-ANALYSE!$I$22))</f>
        <v>#DIV/0!</v>
      </c>
      <c r="Q29" s="22" t="e">
        <f>IF(Q17&lt;0,0,(Q17-Q28)*(100%-ANALYSE!$I$22))</f>
        <v>#DIV/0!</v>
      </c>
      <c r="R29" s="22" t="e">
        <f>IF(R17&lt;0,0,(R17-R28)*(100%-ANALYSE!$I$22))</f>
        <v>#DIV/0!</v>
      </c>
      <c r="S29" s="22" t="e">
        <f>IF(S17&lt;0,0,(S17-S28)*(100%-ANALYSE!$I$22))</f>
        <v>#DIV/0!</v>
      </c>
      <c r="T29" s="22" t="e">
        <f>IF(T17&lt;0,0,(T17-T28)*(100%-ANALYSE!$I$22))</f>
        <v>#DIV/0!</v>
      </c>
      <c r="U29" s="22" t="e">
        <f>IF(U17&lt;0,0,(U17-U28)*(100%-ANALYSE!$I$22))</f>
        <v>#DIV/0!</v>
      </c>
      <c r="V29" s="22" t="e">
        <f>IF(V17&lt;0,0,(V17-V28)*(100%-ANALYSE!$I$22))</f>
        <v>#DIV/0!</v>
      </c>
    </row>
    <row r="30" spans="1:22">
      <c r="A30" s="95" t="s">
        <v>52</v>
      </c>
      <c r="B30" s="106"/>
      <c r="C30" s="105" t="e">
        <f>C29/(ANALYSE!$I13*ANALYSE!$B$21)</f>
        <v>#DIV/0!</v>
      </c>
      <c r="D30" s="105" t="e">
        <f>D29/(ANALYSE!$I13*ANALYSE!$B$21)</f>
        <v>#DIV/0!</v>
      </c>
      <c r="E30" s="105" t="e">
        <f>E29/(ANALYSE!$I13*ANALYSE!$B$21)</f>
        <v>#DIV/0!</v>
      </c>
      <c r="F30" s="105" t="e">
        <f>F29/(ANALYSE!$I13*ANALYSE!$B$21)</f>
        <v>#DIV/0!</v>
      </c>
      <c r="G30" s="105" t="e">
        <f>G29/(ANALYSE!$I13*ANALYSE!$B$21)</f>
        <v>#DIV/0!</v>
      </c>
      <c r="H30" s="105" t="e">
        <f>H29/(ANALYSE!$I13*ANALYSE!$B$21)</f>
        <v>#DIV/0!</v>
      </c>
      <c r="I30" s="105" t="e">
        <f>I29/(ANALYSE!$I13*ANALYSE!$B$21)</f>
        <v>#DIV/0!</v>
      </c>
      <c r="J30" s="105" t="e">
        <f>J29/(ANALYSE!$I13*ANALYSE!$B$21)</f>
        <v>#DIV/0!</v>
      </c>
      <c r="K30" s="105" t="e">
        <f>K29/(ANALYSE!$I13*ANALYSE!$B$21)</f>
        <v>#DIV/0!</v>
      </c>
      <c r="L30" s="105" t="e">
        <f>L29/(ANALYSE!$I13*ANALYSE!$B$21)</f>
        <v>#DIV/0!</v>
      </c>
      <c r="M30" s="105" t="e">
        <f>M29/(ANALYSE!$I13*ANALYSE!$B$21)</f>
        <v>#DIV/0!</v>
      </c>
      <c r="N30" s="105" t="e">
        <f>N29/(ANALYSE!$I13*ANALYSE!$B$21)</f>
        <v>#DIV/0!</v>
      </c>
      <c r="O30" s="105" t="e">
        <f>O29/(ANALYSE!$I13*ANALYSE!$B$21)</f>
        <v>#DIV/0!</v>
      </c>
      <c r="P30" s="105" t="e">
        <f>P29/(ANALYSE!$I13*ANALYSE!$B$21)</f>
        <v>#DIV/0!</v>
      </c>
      <c r="Q30" s="105" t="e">
        <f>Q29/(ANALYSE!$I13*ANALYSE!$B$21)</f>
        <v>#DIV/0!</v>
      </c>
      <c r="R30" s="105" t="e">
        <f>R29/(ANALYSE!$I13*ANALYSE!$B$21)</f>
        <v>#DIV/0!</v>
      </c>
      <c r="S30" s="105" t="e">
        <f>S29/(ANALYSE!$I13*ANALYSE!$B$21)</f>
        <v>#DIV/0!</v>
      </c>
      <c r="T30" s="105" t="e">
        <f>T29/(ANALYSE!$I13*ANALYSE!$B$21)</f>
        <v>#DIV/0!</v>
      </c>
      <c r="U30" s="105" t="e">
        <f>U29/(ANALYSE!$I13*ANALYSE!$B$21)</f>
        <v>#DIV/0!</v>
      </c>
      <c r="V30" s="105" t="e">
        <f>V29/(ANALYSE!$I13*ANALYSE!$B$21)</f>
        <v>#DIV/0!</v>
      </c>
    </row>
    <row r="32" spans="1:22">
      <c r="C32" s="36"/>
    </row>
  </sheetData>
  <sheetProtection selectLockedCells="1" selectUnlockedCells="1"/>
  <pageMargins left="0.70866141732283472" right="0.70866141732283472" top="0.74803149606299213" bottom="0.74803149606299213" header="0.31496062992125984" footer="0.31496062992125984"/>
  <pageSetup paperSize="9" scale="71"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NOTE</vt:lpstr>
      <vt:lpstr>AIDE</vt:lpstr>
      <vt:lpstr>ANALYSE</vt:lpstr>
      <vt:lpstr>SIG</vt:lpstr>
      <vt:lpstr>subvention</vt:lpstr>
      <vt:lpstr>ANALYSE!Zone_d_impression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npoize</dc:creator>
  <cp:lastModifiedBy>Etienne Jouin</cp:lastModifiedBy>
  <cp:lastPrinted>2015-07-06T15:04:46Z</cp:lastPrinted>
  <dcterms:created xsi:type="dcterms:W3CDTF">2014-11-04T14:10:09Z</dcterms:created>
  <dcterms:modified xsi:type="dcterms:W3CDTF">2024-10-30T08:58:19Z</dcterms:modified>
</cp:coreProperties>
</file>